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S:\NATCAN_Projects\Pancreatic\Data analyses\Data quality dashboard\"/>
    </mc:Choice>
  </mc:AlternateContent>
  <xr:revisionPtr revIDLastSave="0" documentId="13_ncr:1_{DADBEED6-872E-49FB-B4B0-3574CC5401D8}" xr6:coauthVersionLast="47" xr6:coauthVersionMax="47" xr10:uidLastSave="{00000000-0000-0000-0000-000000000000}"/>
  <bookViews>
    <workbookView xWindow="14715" yWindow="-16320" windowWidth="29040" windowHeight="15840" tabRatio="859" xr2:uid="{00000000-000D-0000-FFFF-FFFF00000000}"/>
  </bookViews>
  <sheets>
    <sheet name="Introduction" sheetId="11" r:id="rId1"/>
    <sheet name="Explanations" sheetId="44" r:id="rId2"/>
    <sheet name="Acknowledgements" sheetId="13" r:id="rId3"/>
    <sheet name="Data quality dashboard" sheetId="20" r:id="rId4"/>
    <sheet name="Patient characteristics" sheetId="41" r:id="rId5"/>
    <sheet name="Links" sheetId="21" state="hidden" r:id="rId6"/>
    <sheet name="Lists" sheetId="25" state="hidden" r:id="rId7"/>
    <sheet name="trust_data_quality" sheetId="24" state="hidden" r:id="rId8"/>
    <sheet name="alliance_data_quality" sheetId="23" state="hidden" r:id="rId9"/>
    <sheet name="national_data_quality" sheetId="22" state="hidden" r:id="rId10"/>
    <sheet name="trust_patient_char" sheetId="34" state="hidden" r:id="rId11"/>
    <sheet name="alliance_patient_chars" sheetId="30" state="hidden" r:id="rId12"/>
    <sheet name="national_patient_chars" sheetId="32" state="hidden" r:id="rId13"/>
  </sheets>
  <definedNames>
    <definedName name="_xlnm._FilterDatabase" localSheetId="2" hidden="1">Acknowledgements!$C$15:$C$16</definedName>
    <definedName name="_xlnm._FilterDatabase" localSheetId="7" hidden="1">trust_data_quality!$A$1:$Q$123</definedName>
    <definedName name="alliance_dq_cols">Lists!$B$29</definedName>
    <definedName name="alliance_dq_rows">Lists!$B$28</definedName>
    <definedName name="alliance_dq_table">Lists!$B$27</definedName>
    <definedName name="alliance_ptc_cols">Lists!$B$36</definedName>
    <definedName name="alliance_ptc_rows">Lists!$B$37</definedName>
    <definedName name="alliance_ptc_table">Lists!$B$35</definedName>
    <definedName name="denom_missing">Lists!$F$25</definedName>
    <definedName name="dq_cell_ref_col_names">Lists!$D$9</definedName>
    <definedName name="dq_cell_ref_matrix">Lists!$C$9</definedName>
    <definedName name="dq_cell_ref_row_names">Lists!$E$9</definedName>
    <definedName name="dq_cell_ref_table">Lists!$B$9</definedName>
    <definedName name="end_date_england">Lists!$C$46</definedName>
    <definedName name="end_date_england_char">Lists!$G$46</definedName>
    <definedName name="Figure_Xaxis_labels">Lists!$A$51:$L$52</definedName>
    <definedName name="indic_cell_ref_col_names">Lists!$F$28</definedName>
    <definedName name="indic_cell_ref_matrix">Lists!$F$27</definedName>
    <definedName name="indic_cell_ref_row_names">Lists!$F$29</definedName>
    <definedName name="n_ca">Lists!$C$56</definedName>
    <definedName name="n_trusts">Lists!$B$56</definedName>
    <definedName name="n_trusts_in_CA">Links!$F$8</definedName>
    <definedName name="national_dq_cols">Lists!$B$31</definedName>
    <definedName name="national_dq_table">Lists!$B$30</definedName>
    <definedName name="national_ptc_cols">Lists!$B$39</definedName>
    <definedName name="national_ptc_row">Lists!$B$38</definedName>
    <definedName name="publication_quarter">Lists!#REF!</definedName>
    <definedName name="publication_year">Lists!$D$46</definedName>
    <definedName name="selected_dq_datasource_l">Links!$H$26</definedName>
    <definedName name="selected_dq_datasource_xc">Links!$H$22</definedName>
    <definedName name="selected_dq_datavar_l">Links!$I$26</definedName>
    <definedName name="selected_dq_datavar_xc">Links!$I$22</definedName>
    <definedName name="selected_dq_denom_l">Links!$E$26</definedName>
    <definedName name="selected_dq_denom_xc">Links!$E$22</definedName>
    <definedName name="selected_dq_denomdescr_l">Links!$G$26</definedName>
    <definedName name="selected_dq_denomdescr_xc">Links!$G$22</definedName>
    <definedName name="selected_dq_descr_l">Links!$B$26</definedName>
    <definedName name="selected_dq_descr_xc">Links!$B$22</definedName>
    <definedName name="selected_dq_name_l">Links!$C$26</definedName>
    <definedName name="selected_dq_name_xc">Links!$C$22</definedName>
    <definedName name="selected_dq_num_l">Links!$F$26</definedName>
    <definedName name="selected_dq_num_xc">Links!$F$22</definedName>
    <definedName name="selected_dq_target_l">Links!$D$26</definedName>
    <definedName name="selected_dq_target_xc">Links!$D$22</definedName>
    <definedName name="selected_dq_time_l">Links!$J$26</definedName>
    <definedName name="selected_dq_time_xc">Links!$J$22</definedName>
    <definedName name="selected_trust_l">Links!$B$12</definedName>
    <definedName name="selected_trust_l_ca_code">Links!$E$12</definedName>
    <definedName name="selected_trust_l_ca_name">Links!$D$12</definedName>
    <definedName name="selected_trust_l_code">Links!$C$12</definedName>
    <definedName name="selected_trust_ptc">Links!$B$16</definedName>
    <definedName name="selected_trust_ptc_ca_code">Links!$E$16</definedName>
    <definedName name="selected_trust_ptc_ca_name">Links!$D$16</definedName>
    <definedName name="selected_trust_ptc_code">Links!$C$16</definedName>
    <definedName name="selected_trust_xc">Links!$B$8</definedName>
    <definedName name="selected_trust_xc_ca_code">Links!$E$8</definedName>
    <definedName name="selected_trust_xc_ca_name">Links!$D$8</definedName>
    <definedName name="selected_trust_xc_code">Links!$C$8</definedName>
    <definedName name="start_date_england">Lists!$B$46</definedName>
    <definedName name="start_date_england_char">Lists!$F$46</definedName>
    <definedName name="table_national_dq">national_data_quality!$A$1:$N$2</definedName>
    <definedName name="table_trust_ca">Lists!$B$60</definedName>
    <definedName name="table_trust_ca_assoc">Lists!$B$61</definedName>
    <definedName name="table_trust_dq">trust_data_quality!$A$1:$Q$123</definedName>
    <definedName name="table_trusts_per_CA">Lists!$F$62:$G$83</definedName>
    <definedName name="trust_dq_cols">Lists!$B$26</definedName>
    <definedName name="trust_dq_rows">Lists!$B$25</definedName>
    <definedName name="trust_dq_table">Lists!$B$24</definedName>
    <definedName name="trust_ptc_cols">Lists!$B$34</definedName>
    <definedName name="trust_ptc_rows">Lists!$B$33</definedName>
    <definedName name="trust_ptc_table">Lists!$B$32</definedName>
    <definedName name="trusts_per_CA">Lists!$G$61</definedName>
  </definedNames>
  <calcPr calcId="191029"/>
  <pivotCaches>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20" l="1"/>
  <c r="C13" i="41"/>
  <c r="J64" i="25"/>
  <c r="J65" i="25"/>
  <c r="J66" i="25"/>
  <c r="J67" i="25"/>
  <c r="J68" i="25"/>
  <c r="J69" i="25"/>
  <c r="J70" i="25"/>
  <c r="J71" i="25"/>
  <c r="J72" i="25"/>
  <c r="J73" i="25"/>
  <c r="J74" i="25"/>
  <c r="J75" i="25"/>
  <c r="J76" i="25"/>
  <c r="J77" i="25"/>
  <c r="J78" i="25"/>
  <c r="J79" i="25"/>
  <c r="J80" i="25"/>
  <c r="J81" i="25"/>
  <c r="J82" i="25"/>
  <c r="J83" i="25"/>
  <c r="J63" i="25"/>
  <c r="I12" i="25"/>
  <c r="I15" i="25"/>
  <c r="G21" i="41"/>
  <c r="G22" i="41"/>
  <c r="G23" i="41"/>
  <c r="G29" i="41"/>
  <c r="G30" i="41"/>
  <c r="G18" i="41"/>
  <c r="G27" i="41"/>
  <c r="G19" i="41"/>
  <c r="G26" i="41"/>
  <c r="G24" i="41"/>
  <c r="G28" i="41"/>
  <c r="I18" i="25" l="1"/>
  <c r="F26" i="25"/>
  <c r="J86" i="25" l="1"/>
  <c r="J84" i="25"/>
  <c r="U21" i="21"/>
  <c r="B26" i="21" l="1"/>
  <c r="B16" i="21"/>
  <c r="B12" i="21"/>
  <c r="E26" i="21"/>
  <c r="G26" i="21"/>
  <c r="E30" i="41"/>
  <c r="E19" i="41"/>
  <c r="E24" i="41"/>
  <c r="D26" i="21"/>
  <c r="E28" i="41"/>
  <c r="C16" i="21"/>
  <c r="E22" i="41"/>
  <c r="F26" i="21"/>
  <c r="E29" i="41"/>
  <c r="E23" i="41"/>
  <c r="I26" i="21"/>
  <c r="E12" i="21"/>
  <c r="E27" i="41"/>
  <c r="E18" i="41"/>
  <c r="E21" i="41"/>
  <c r="D16" i="21"/>
  <c r="C26" i="21"/>
  <c r="E26" i="41"/>
  <c r="H26" i="21"/>
  <c r="C12" i="21"/>
  <c r="E16" i="21"/>
  <c r="D12" i="21"/>
  <c r="C11" i="41" l="1"/>
  <c r="F28" i="41"/>
  <c r="F19" i="41"/>
  <c r="F22" i="41"/>
  <c r="F27" i="41"/>
  <c r="F18" i="41"/>
  <c r="F30" i="41"/>
  <c r="F21" i="41"/>
  <c r="F24" i="41"/>
  <c r="F23" i="41"/>
  <c r="F29" i="41"/>
  <c r="F26" i="41"/>
  <c r="C56" i="25" l="1"/>
  <c r="B56" i="25"/>
  <c r="H23" i="20" l="1"/>
  <c r="E30" i="21"/>
  <c r="I13" i="25"/>
  <c r="I14" i="25"/>
  <c r="I16" i="25"/>
  <c r="I17" i="25"/>
  <c r="I11" i="25"/>
  <c r="J21" i="20"/>
  <c r="J26" i="21"/>
  <c r="G86" i="25" l="1"/>
  <c r="B22" i="21" l="1"/>
  <c r="I22" i="21"/>
  <c r="C22" i="21"/>
  <c r="P113" i="24" a="1"/>
  <c r="P87" i="24" a="1"/>
  <c r="P35" i="24" a="1"/>
  <c r="P95" i="24" a="1"/>
  <c r="P31" i="24" a="1"/>
  <c r="P108" i="24" a="1"/>
  <c r="P80" i="24" a="1"/>
  <c r="P37" i="24" a="1"/>
  <c r="P98" i="24" a="1"/>
  <c r="P53" i="24" a="1"/>
  <c r="P92" i="24" a="1"/>
  <c r="P36" i="24" a="1"/>
  <c r="P107" i="24" a="1"/>
  <c r="P79" i="24" a="1"/>
  <c r="P83" i="24" a="1"/>
  <c r="P73" i="24" a="1"/>
  <c r="G22" i="21"/>
  <c r="N2" i="23" a="1"/>
  <c r="P77" i="24" a="1"/>
  <c r="P34" i="24" a="1"/>
  <c r="P105" i="24" a="1"/>
  <c r="P116" i="24" a="1"/>
  <c r="P43" i="24" a="1"/>
  <c r="P50" i="24" a="1"/>
  <c r="P91" i="24" a="1"/>
  <c r="P75" i="24" a="1"/>
  <c r="P64" i="24" a="1"/>
  <c r="P52" i="24" a="1"/>
  <c r="P14" i="24" a="1"/>
  <c r="P15" i="24" a="1"/>
  <c r="P3" i="24" a="1"/>
  <c r="P57" i="24" a="1"/>
  <c r="P28" i="24" a="1"/>
  <c r="N3" i="23" a="1"/>
  <c r="P23" i="24" a="1"/>
  <c r="P56" i="24" a="1"/>
  <c r="P86" i="24" a="1"/>
  <c r="P76" i="24" a="1"/>
  <c r="P93" i="24" a="1"/>
  <c r="P9" i="24" a="1"/>
  <c r="P78" i="24" a="1"/>
  <c r="P16" i="24" a="1"/>
  <c r="P81" i="24" a="1"/>
  <c r="P72" i="24" a="1"/>
  <c r="P63" i="24" a="1"/>
  <c r="P94" i="24" a="1"/>
  <c r="N8" i="23" a="1"/>
  <c r="N6" i="23" a="1"/>
  <c r="P55" i="24" a="1"/>
  <c r="P60" i="24" a="1"/>
  <c r="N5" i="23" a="1"/>
  <c r="P96" i="24" a="1"/>
  <c r="P89" i="24" a="1"/>
  <c r="P17" i="24" a="1"/>
  <c r="N4" i="23" a="1"/>
  <c r="P85" i="24" a="1"/>
  <c r="P33" i="24" a="1"/>
  <c r="J22" i="21"/>
  <c r="P70" i="24" a="1"/>
  <c r="P7" i="24" a="1"/>
  <c r="P120" i="24" a="1"/>
  <c r="P54" i="24" a="1"/>
  <c r="N18" i="23" a="1"/>
  <c r="P13" i="24" a="1"/>
  <c r="N7" i="23" a="1"/>
  <c r="P48" i="24" a="1"/>
  <c r="P45" i="24" a="1"/>
  <c r="P122" i="24" a="1"/>
  <c r="P20" i="24" a="1"/>
  <c r="N15" i="23" a="1"/>
  <c r="P104" i="24" a="1"/>
  <c r="P112" i="24" a="1"/>
  <c r="P101" i="24" a="1"/>
  <c r="P117" i="24" a="1"/>
  <c r="P18" i="24" a="1"/>
  <c r="N14" i="23" a="1"/>
  <c r="N16" i="23" a="1"/>
  <c r="P62" i="24" a="1"/>
  <c r="P8" i="24" a="1"/>
  <c r="P61" i="24" a="1"/>
  <c r="P110" i="24" a="1"/>
  <c r="P111" i="24" a="1"/>
  <c r="P24" i="24" a="1"/>
  <c r="P40" i="24" a="1"/>
  <c r="P84" i="24" a="1"/>
  <c r="P67" i="24" a="1"/>
  <c r="P69" i="24" a="1"/>
  <c r="P42" i="24" a="1"/>
  <c r="P19" i="24" a="1"/>
  <c r="N13" i="23" a="1"/>
  <c r="P71" i="24" a="1"/>
  <c r="P74" i="24" a="1"/>
  <c r="P99" i="24" a="1"/>
  <c r="P30" i="24" a="1"/>
  <c r="F22" i="21"/>
  <c r="N19" i="23" a="1"/>
  <c r="P102" i="24" a="1"/>
  <c r="P5" i="24" a="1"/>
  <c r="N22" i="23" a="1"/>
  <c r="P59" i="24" a="1"/>
  <c r="N21" i="23" a="1"/>
  <c r="P4" i="24" a="1"/>
  <c r="P109" i="24" a="1"/>
  <c r="P118" i="24" a="1"/>
  <c r="P51" i="24" a="1"/>
  <c r="P119" i="24" a="1"/>
  <c r="P32" i="24" a="1"/>
  <c r="P44" i="24" a="1"/>
  <c r="N20" i="23" a="1"/>
  <c r="P68" i="24" a="1"/>
  <c r="P115" i="24" a="1"/>
  <c r="P29" i="24" a="1"/>
  <c r="P97" i="24" a="1"/>
  <c r="P47" i="24" a="1"/>
  <c r="P46" i="24" a="1"/>
  <c r="P90" i="24" a="1"/>
  <c r="N9" i="23" a="1"/>
  <c r="P65" i="24" a="1"/>
  <c r="P27" i="24" a="1"/>
  <c r="P103" i="24" a="1"/>
  <c r="N17" i="23" a="1"/>
  <c r="P88" i="24" a="1"/>
  <c r="P121" i="24" a="1"/>
  <c r="P66" i="24" a="1"/>
  <c r="P123" i="24" a="1"/>
  <c r="P106" i="24" a="1"/>
  <c r="N11" i="23" a="1"/>
  <c r="P114" i="24" a="1"/>
  <c r="P21" i="24" a="1"/>
  <c r="P10" i="24" a="1"/>
  <c r="P82" i="24" a="1"/>
  <c r="P49" i="24" a="1"/>
  <c r="P38" i="24" a="1"/>
  <c r="P41" i="24" a="1"/>
  <c r="P2" i="24" a="1"/>
  <c r="P6" i="24" a="1"/>
  <c r="P100" i="24" a="1"/>
  <c r="P58" i="24" a="1"/>
  <c r="P22" i="24" a="1"/>
  <c r="P11" i="24" a="1"/>
  <c r="N12" i="23" a="1"/>
  <c r="P39" i="24" a="1"/>
  <c r="P12" i="24" a="1"/>
  <c r="P26" i="24" a="1"/>
  <c r="P25" i="24" a="1"/>
  <c r="M2" i="22" l="1" a="1"/>
  <c r="M2" i="22" s="1"/>
  <c r="P3" i="24"/>
  <c r="P11" i="24"/>
  <c r="P21" i="24"/>
  <c r="P30" i="24"/>
  <c r="P38" i="24"/>
  <c r="P47" i="24"/>
  <c r="P54" i="24"/>
  <c r="P64" i="24"/>
  <c r="P73" i="24"/>
  <c r="P82" i="24"/>
  <c r="P91" i="24"/>
  <c r="P97" i="24"/>
  <c r="P76" i="24"/>
  <c r="P102" i="24"/>
  <c r="P110" i="24"/>
  <c r="P120" i="24"/>
  <c r="P22" i="24"/>
  <c r="P31" i="24"/>
  <c r="P39" i="24"/>
  <c r="P48" i="24"/>
  <c r="P65" i="24"/>
  <c r="P74" i="24"/>
  <c r="P84" i="24"/>
  <c r="P92" i="24"/>
  <c r="P98" i="24"/>
  <c r="P103" i="24"/>
  <c r="P111" i="24"/>
  <c r="P121" i="24"/>
  <c r="P5" i="24"/>
  <c r="P32" i="24"/>
  <c r="P66" i="24"/>
  <c r="P85" i="24"/>
  <c r="P78" i="24"/>
  <c r="P122" i="24"/>
  <c r="P4" i="24"/>
  <c r="P55" i="24"/>
  <c r="P77" i="24"/>
  <c r="P13" i="24"/>
  <c r="P56" i="24"/>
  <c r="P99" i="24"/>
  <c r="P12" i="24"/>
  <c r="P49" i="24"/>
  <c r="P104" i="24"/>
  <c r="P6" i="24"/>
  <c r="P14" i="24"/>
  <c r="P25" i="24"/>
  <c r="P33" i="24"/>
  <c r="P42" i="24"/>
  <c r="P50" i="24"/>
  <c r="P58" i="24"/>
  <c r="P67" i="24"/>
  <c r="P112" i="24"/>
  <c r="P70" i="24"/>
  <c r="P94" i="24"/>
  <c r="P16" i="24"/>
  <c r="P83" i="24"/>
  <c r="P105" i="24"/>
  <c r="P114" i="24"/>
  <c r="P8" i="24"/>
  <c r="P18" i="24"/>
  <c r="P27" i="24"/>
  <c r="P35" i="24"/>
  <c r="P44" i="24"/>
  <c r="P60" i="24"/>
  <c r="P69" i="24"/>
  <c r="P79" i="24"/>
  <c r="P88" i="24"/>
  <c r="P24" i="24"/>
  <c r="P118" i="24"/>
  <c r="P107" i="24"/>
  <c r="P116" i="24"/>
  <c r="P9" i="24"/>
  <c r="P19" i="24"/>
  <c r="P28" i="24"/>
  <c r="P36" i="24"/>
  <c r="P45" i="24"/>
  <c r="P52" i="24"/>
  <c r="P61" i="24"/>
  <c r="P71" i="24"/>
  <c r="P80" i="24"/>
  <c r="P89" i="24"/>
  <c r="P96" i="24"/>
  <c r="P40" i="24"/>
  <c r="P100" i="24"/>
  <c r="P108" i="24"/>
  <c r="P117" i="24"/>
  <c r="P10" i="24"/>
  <c r="P20" i="24"/>
  <c r="P29" i="24"/>
  <c r="P37" i="24"/>
  <c r="P46" i="24"/>
  <c r="P53" i="24"/>
  <c r="P63" i="24"/>
  <c r="P72" i="24"/>
  <c r="P81" i="24"/>
  <c r="P90" i="24"/>
  <c r="P57" i="24"/>
  <c r="P62" i="24"/>
  <c r="P101" i="24"/>
  <c r="P109" i="24"/>
  <c r="P119" i="24"/>
  <c r="P23" i="24"/>
  <c r="P41" i="24"/>
  <c r="P93" i="24"/>
  <c r="P113" i="24"/>
  <c r="P7" i="24"/>
  <c r="P68" i="24"/>
  <c r="P15" i="24"/>
  <c r="P75" i="24"/>
  <c r="P26" i="24"/>
  <c r="P115" i="24"/>
  <c r="P87" i="24"/>
  <c r="P123" i="24"/>
  <c r="P95" i="24"/>
  <c r="P51" i="24"/>
  <c r="P59" i="24"/>
  <c r="P106" i="24"/>
  <c r="P34" i="24"/>
  <c r="P43" i="24"/>
  <c r="P17" i="24"/>
  <c r="P86" i="24"/>
  <c r="P2" i="24"/>
  <c r="N7" i="23"/>
  <c r="N15" i="23"/>
  <c r="N8" i="23"/>
  <c r="N16" i="23"/>
  <c r="N9" i="23"/>
  <c r="N17" i="23"/>
  <c r="N18" i="23"/>
  <c r="N3" i="23"/>
  <c r="N11" i="23"/>
  <c r="N19" i="23"/>
  <c r="N4" i="23"/>
  <c r="N12" i="23"/>
  <c r="N20" i="23"/>
  <c r="N5" i="23"/>
  <c r="N13" i="23"/>
  <c r="N21" i="23"/>
  <c r="N6" i="23"/>
  <c r="N14" i="23"/>
  <c r="N22" i="23"/>
  <c r="N2" i="23"/>
  <c r="C21" i="20"/>
  <c r="K19" i="20"/>
  <c r="K4" i="20"/>
  <c r="K7" i="20"/>
  <c r="K13" i="20"/>
  <c r="N10" i="23" a="1"/>
  <c r="H22" i="21"/>
  <c r="G28" i="20"/>
  <c r="E22" i="21"/>
  <c r="D22" i="21"/>
  <c r="K10" i="20" l="1"/>
  <c r="N10" i="23"/>
  <c r="O5" i="23" s="1"/>
  <c r="Q17" i="24"/>
  <c r="Q87" i="24"/>
  <c r="Q90" i="24"/>
  <c r="Q20" i="24"/>
  <c r="Q9" i="24"/>
  <c r="Q83" i="24"/>
  <c r="Q99" i="24"/>
  <c r="Q92" i="24"/>
  <c r="Q120" i="24"/>
  <c r="Q115" i="24"/>
  <c r="Q81" i="24"/>
  <c r="Q71" i="24"/>
  <c r="Q44" i="24"/>
  <c r="Q33" i="24"/>
  <c r="Q66" i="24"/>
  <c r="Q110" i="24"/>
  <c r="Q34" i="24"/>
  <c r="Q26" i="24"/>
  <c r="Q72" i="24"/>
  <c r="Q61" i="24"/>
  <c r="Q35" i="24"/>
  <c r="Q25" i="24"/>
  <c r="Q32" i="24"/>
  <c r="Q102" i="24"/>
  <c r="Q106" i="24"/>
  <c r="Q119" i="24"/>
  <c r="Q108" i="24"/>
  <c r="Q118" i="24"/>
  <c r="Q77" i="24"/>
  <c r="Q15" i="24"/>
  <c r="Q109" i="24"/>
  <c r="Q100" i="24"/>
  <c r="Q24" i="24"/>
  <c r="Q112" i="24"/>
  <c r="Q6" i="24"/>
  <c r="Q55" i="24"/>
  <c r="Q121" i="24"/>
  <c r="Q97" i="24"/>
  <c r="Q30" i="24"/>
  <c r="Q68" i="24"/>
  <c r="Q46" i="24"/>
  <c r="Q40" i="24"/>
  <c r="Q88" i="24"/>
  <c r="Q8" i="24"/>
  <c r="Q67" i="24"/>
  <c r="Q4" i="24"/>
  <c r="Q111" i="24"/>
  <c r="Q39" i="24"/>
  <c r="Q91" i="24"/>
  <c r="Q21" i="24"/>
  <c r="Q95" i="24"/>
  <c r="Q7" i="24"/>
  <c r="Q62" i="24"/>
  <c r="Q37" i="24"/>
  <c r="Q96" i="24"/>
  <c r="Q28" i="24"/>
  <c r="Q79" i="24"/>
  <c r="Q114" i="24"/>
  <c r="Q58" i="24"/>
  <c r="Q49" i="24"/>
  <c r="Q122" i="24"/>
  <c r="Q103" i="24"/>
  <c r="Q31" i="24"/>
  <c r="Q82" i="24"/>
  <c r="Q11" i="24"/>
  <c r="Q93" i="24"/>
  <c r="Q80" i="24"/>
  <c r="Q60" i="24"/>
  <c r="Q42" i="24"/>
  <c r="Q85" i="24"/>
  <c r="Q64" i="24"/>
  <c r="Q43" i="24"/>
  <c r="Q41" i="24"/>
  <c r="Q10" i="24"/>
  <c r="Q116" i="24"/>
  <c r="Q16" i="24"/>
  <c r="Q56" i="24"/>
  <c r="Q84" i="24"/>
  <c r="Q54" i="24"/>
  <c r="Q23" i="24"/>
  <c r="Q117" i="24"/>
  <c r="Q107" i="24"/>
  <c r="Q94" i="24"/>
  <c r="Q13" i="24"/>
  <c r="Q74" i="24"/>
  <c r="Q47" i="24"/>
  <c r="Q75" i="24"/>
  <c r="Q63" i="24"/>
  <c r="Q52" i="24"/>
  <c r="Q27" i="24"/>
  <c r="Q70" i="24"/>
  <c r="Q14" i="24"/>
  <c r="Q5" i="24"/>
  <c r="Q65" i="24"/>
  <c r="Q76" i="24"/>
  <c r="Q38" i="24"/>
  <c r="Q59" i="24"/>
  <c r="Q53" i="24"/>
  <c r="Q45" i="24"/>
  <c r="Q18" i="24"/>
  <c r="Q48" i="24"/>
  <c r="Q51" i="24"/>
  <c r="Q101" i="24"/>
  <c r="Q36" i="24"/>
  <c r="Q104" i="24"/>
  <c r="Q86" i="24"/>
  <c r="Q123" i="24"/>
  <c r="Q113" i="24"/>
  <c r="Q57" i="24"/>
  <c r="Q29" i="24"/>
  <c r="Q89" i="24"/>
  <c r="Q19" i="24"/>
  <c r="Q69" i="24"/>
  <c r="Q105" i="24"/>
  <c r="Q50" i="24"/>
  <c r="Q12" i="24"/>
  <c r="Q78" i="24"/>
  <c r="Q98" i="24"/>
  <c r="Q22" i="24"/>
  <c r="Q73" i="24"/>
  <c r="Q3" i="24"/>
  <c r="Q2" i="24"/>
  <c r="F29" i="21"/>
  <c r="F30" i="21" s="1"/>
  <c r="K16" i="20"/>
  <c r="F28" i="20"/>
  <c r="G25" i="20" l="1"/>
  <c r="G35" i="20"/>
  <c r="O9" i="23"/>
  <c r="O12" i="23"/>
  <c r="O6" i="23"/>
  <c r="O13" i="23"/>
  <c r="O8" i="23"/>
  <c r="O16" i="23"/>
  <c r="O15" i="23"/>
  <c r="O4" i="23"/>
  <c r="O11" i="23"/>
  <c r="O22" i="23"/>
  <c r="O19" i="23"/>
  <c r="O20" i="23"/>
  <c r="O14" i="23"/>
  <c r="O10" i="23"/>
  <c r="O18" i="23"/>
  <c r="O21" i="23"/>
  <c r="O7" i="23"/>
  <c r="O2" i="23"/>
  <c r="O17" i="23"/>
  <c r="O3" i="23"/>
  <c r="B8" i="21"/>
  <c r="F26" i="20"/>
  <c r="G26" i="20"/>
  <c r="D29" i="21" l="1"/>
  <c r="D26" i="20"/>
  <c r="D8" i="21"/>
  <c r="E8" i="21"/>
  <c r="H26" i="20"/>
  <c r="C8" i="21"/>
  <c r="C29" i="21" l="1"/>
  <c r="C30" i="21" s="1"/>
  <c r="D27" i="20"/>
  <c r="C31" i="20"/>
  <c r="C11" i="20"/>
  <c r="F27" i="20"/>
  <c r="H27" i="20"/>
  <c r="F8" i="21"/>
  <c r="G27" i="20"/>
  <c r="F40" i="20" l="1" a="1"/>
  <c r="F40" i="20" s="1"/>
  <c r="F46" i="20" a="1"/>
  <c r="F46" i="20" s="1"/>
  <c r="F42" i="20" a="1"/>
  <c r="F42" i="20" s="1"/>
  <c r="F44" i="20" a="1"/>
  <c r="F44" i="20" s="1"/>
  <c r="F45" i="20" a="1"/>
  <c r="F45" i="20" s="1"/>
  <c r="F36" i="20" a="1"/>
  <c r="F36" i="20" s="1"/>
  <c r="F41" i="20" a="1"/>
  <c r="F41" i="20" s="1"/>
  <c r="F43" i="20" a="1"/>
  <c r="F43" i="20" s="1"/>
  <c r="F39" i="20" a="1"/>
  <c r="F39" i="20" s="1"/>
  <c r="F38" i="20" a="1"/>
  <c r="F38" i="20" s="1"/>
  <c r="F37" i="20" a="1"/>
  <c r="F37" i="20" s="1"/>
  <c r="F47" i="20" a="1"/>
  <c r="F47" i="20" s="1"/>
  <c r="D42" i="20" a="1"/>
  <c r="D42" i="20" s="1"/>
  <c r="H38" i="20" a="1"/>
  <c r="H38" i="20" s="1"/>
  <c r="H47" i="20" a="1"/>
  <c r="H47" i="20" s="1"/>
  <c r="D45" i="20" a="1"/>
  <c r="D45" i="20" s="1"/>
  <c r="G38" i="20" a="1"/>
  <c r="G38" i="20" s="1"/>
  <c r="H36" i="20" a="1"/>
  <c r="H36" i="20" s="1"/>
  <c r="G43" i="20" a="1"/>
  <c r="G43" i="20" s="1"/>
  <c r="G36" i="20" a="1"/>
  <c r="G36" i="20" s="1"/>
  <c r="D46" i="20" a="1"/>
  <c r="D46" i="20" s="1"/>
  <c r="D40" i="20" a="1"/>
  <c r="D40" i="20" s="1"/>
  <c r="H45" i="20" a="1"/>
  <c r="H45" i="20" s="1"/>
  <c r="H39" i="20" a="1"/>
  <c r="H39" i="20" s="1"/>
  <c r="G39" i="20" a="1"/>
  <c r="G39" i="20" s="1"/>
  <c r="G45" i="20" a="1"/>
  <c r="G45" i="20" s="1"/>
  <c r="G42" i="20" a="1"/>
  <c r="G42" i="20" s="1"/>
  <c r="H44" i="20" a="1"/>
  <c r="H44" i="20" s="1"/>
  <c r="H41" i="20" a="1"/>
  <c r="H41" i="20" s="1"/>
  <c r="G47" i="20" a="1"/>
  <c r="G47" i="20" s="1"/>
  <c r="G44" i="20" a="1"/>
  <c r="G44" i="20" s="1"/>
  <c r="D38" i="20" a="1"/>
  <c r="D38" i="20" s="1"/>
  <c r="G41" i="20" a="1"/>
  <c r="G41" i="20" s="1"/>
  <c r="H37" i="20" a="1"/>
  <c r="H37" i="20" s="1"/>
  <c r="D37" i="20" a="1"/>
  <c r="D37" i="20" s="1"/>
  <c r="D43" i="20" a="1"/>
  <c r="D43" i="20" s="1"/>
  <c r="H42" i="20" a="1"/>
  <c r="H42" i="20" s="1"/>
  <c r="D39" i="20" a="1"/>
  <c r="D39" i="20" s="1"/>
  <c r="D44" i="20" a="1"/>
  <c r="D44" i="20" s="1"/>
  <c r="G37" i="20" a="1"/>
  <c r="G37" i="20" s="1"/>
  <c r="D47" i="20" a="1"/>
  <c r="D47" i="20" s="1"/>
  <c r="H46" i="20" a="1"/>
  <c r="H46" i="20" s="1"/>
  <c r="H43" i="20" a="1"/>
  <c r="H43" i="20" s="1"/>
  <c r="D41" i="20" a="1"/>
  <c r="D41" i="20" s="1"/>
  <c r="G46" i="20" a="1"/>
  <c r="G46" i="20" s="1"/>
  <c r="H40" i="20" a="1"/>
  <c r="H40" i="20" s="1"/>
  <c r="G40" i="20" a="1"/>
  <c r="G40" i="20" s="1"/>
  <c r="D36" i="20" a="1"/>
  <c r="D36"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<sst xmlns="http://schemas.openxmlformats.org/spreadsheetml/2006/main" count="1778" uniqueCount="578">
  <si>
    <t>alliance_code</t>
  </si>
  <si>
    <t>alliance_name</t>
  </si>
  <si>
    <t>n</t>
  </si>
  <si>
    <t>A01</t>
  </si>
  <si>
    <t>Cheshire and Merseyside</t>
  </si>
  <si>
    <t>A02</t>
  </si>
  <si>
    <t>East Midlands</t>
  </si>
  <si>
    <t>A03a</t>
  </si>
  <si>
    <t>East of England - North</t>
  </si>
  <si>
    <t>A03b</t>
  </si>
  <si>
    <t>East of England - South</t>
  </si>
  <si>
    <t>A04</t>
  </si>
  <si>
    <t>Greater Manchester</t>
  </si>
  <si>
    <t>A05</t>
  </si>
  <si>
    <t>Humber, Coast and Vale</t>
  </si>
  <si>
    <t>A06</t>
  </si>
  <si>
    <t>Kent and Medway</t>
  </si>
  <si>
    <t>A07</t>
  </si>
  <si>
    <t>Lancashire and South Cumbria</t>
  </si>
  <si>
    <t>A08a</t>
  </si>
  <si>
    <t>North Central London</t>
  </si>
  <si>
    <t>A08b</t>
  </si>
  <si>
    <t>North East London</t>
  </si>
  <si>
    <t>A09</t>
  </si>
  <si>
    <t>Northern</t>
  </si>
  <si>
    <t>A10</t>
  </si>
  <si>
    <t>A11</t>
  </si>
  <si>
    <t>Somerset, Wiltshire, Avon &amp; Gloucestershire</t>
  </si>
  <si>
    <t>A12</t>
  </si>
  <si>
    <t>South East London</t>
  </si>
  <si>
    <t>A13</t>
  </si>
  <si>
    <t>South Yorkshire and Bassetlaw</t>
  </si>
  <si>
    <t>A14</t>
  </si>
  <si>
    <t>Surrey and Sussex</t>
  </si>
  <si>
    <t>A15</t>
  </si>
  <si>
    <t>Thames Valley</t>
  </si>
  <si>
    <t>A16</t>
  </si>
  <si>
    <t>Wessex</t>
  </si>
  <si>
    <t>A17</t>
  </si>
  <si>
    <t>A18</t>
  </si>
  <si>
    <t>West Midlands</t>
  </si>
  <si>
    <t>A19</t>
  </si>
  <si>
    <t>West Yorkshire and Harrogate</t>
  </si>
  <si>
    <t>trust_code</t>
  </si>
  <si>
    <t>trust_name</t>
  </si>
  <si>
    <t>R0A</t>
  </si>
  <si>
    <t>Manchester University NHS Foundation Trust</t>
  </si>
  <si>
    <t>R0B</t>
  </si>
  <si>
    <t>South Tyneside and Sunderland NHS Foundation Trust</t>
  </si>
  <si>
    <t>R0D</t>
  </si>
  <si>
    <t>University Hospitals Dorset NHS Foundation Trust</t>
  </si>
  <si>
    <t>R1F</t>
  </si>
  <si>
    <t>R1H</t>
  </si>
  <si>
    <t>Barts Health NHS Trust</t>
  </si>
  <si>
    <t>R1K</t>
  </si>
  <si>
    <t>RA2</t>
  </si>
  <si>
    <t>Royal Surrey County Hospital NHS Foundation Trust</t>
  </si>
  <si>
    <t>RA7</t>
  </si>
  <si>
    <t>University Hospitals Bristol and Weston NHS Foundation Trust</t>
  </si>
  <si>
    <t>Peninsula</t>
  </si>
  <si>
    <t>RA9</t>
  </si>
  <si>
    <t>Torbay and South Devon NHS Foundation Trust</t>
  </si>
  <si>
    <t>RAE</t>
  </si>
  <si>
    <t>Bradford Teaching Hospitals NHS Foundation Trust</t>
  </si>
  <si>
    <t>RAJ</t>
  </si>
  <si>
    <t>Mid and South Essex NHS Foundation Trust</t>
  </si>
  <si>
    <t>RAL</t>
  </si>
  <si>
    <t>Royal Free London NHS Foundation Trust</t>
  </si>
  <si>
    <t>RAP</t>
  </si>
  <si>
    <t>North Middlesex University Hospital NHS Trust</t>
  </si>
  <si>
    <t>RAS</t>
  </si>
  <si>
    <t>RAX</t>
  </si>
  <si>
    <t>Kingston Hospital NHS Foundation Trust</t>
  </si>
  <si>
    <t>RBD</t>
  </si>
  <si>
    <t>Dorset County Hospital NHS Foundation Trust</t>
  </si>
  <si>
    <t>RBK</t>
  </si>
  <si>
    <t>Walsall Healthcare NHS Trust</t>
  </si>
  <si>
    <t>RBL</t>
  </si>
  <si>
    <t>Wirral University Teaching Hospital NHS Foundation Trust</t>
  </si>
  <si>
    <t>RBN</t>
  </si>
  <si>
    <t>RBT</t>
  </si>
  <si>
    <t>Mid Cheshire Hospitals NHS Foundation Trust</t>
  </si>
  <si>
    <t>RBV</t>
  </si>
  <si>
    <t>RC9</t>
  </si>
  <si>
    <t>Bedfordshire Hospitals NHS Foundation Trust</t>
  </si>
  <si>
    <t>RCB</t>
  </si>
  <si>
    <t>RCD</t>
  </si>
  <si>
    <t>Harrogate and District NHS Foundation Trust</t>
  </si>
  <si>
    <t>RCF</t>
  </si>
  <si>
    <t>Airedale NHS Foundation Trust</t>
  </si>
  <si>
    <t>RCX</t>
  </si>
  <si>
    <t>RD1</t>
  </si>
  <si>
    <t>RD8</t>
  </si>
  <si>
    <t>Milton Keynes University Hospital NHS Foundation Trust</t>
  </si>
  <si>
    <t>RDE</t>
  </si>
  <si>
    <t>East Suffolk and North Essex NHS Foundation Trust</t>
  </si>
  <si>
    <t>RDU</t>
  </si>
  <si>
    <t>Frimley Health NHS Foundation Trust</t>
  </si>
  <si>
    <t>REF</t>
  </si>
  <si>
    <t>Royal Cornwall Hospitals NHS Trust</t>
  </si>
  <si>
    <t>REM</t>
  </si>
  <si>
    <t>Liverpool University Hospitals NHS Foundation Trust</t>
  </si>
  <si>
    <t>REN</t>
  </si>
  <si>
    <t>RF4</t>
  </si>
  <si>
    <t>Barking, Havering and Redbridge University Hospitals NHS Trust</t>
  </si>
  <si>
    <t>RFF</t>
  </si>
  <si>
    <t>Barnsley Hospital NHS Foundation Trust</t>
  </si>
  <si>
    <t>RFR</t>
  </si>
  <si>
    <t>RFS</t>
  </si>
  <si>
    <t>Chesterfield Royal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</si>
  <si>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</si>
  <si>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</si>
  <si>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</si>
  <si>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</si>
  <si>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</si>
  <si>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</si>
  <si>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</si>
  <si>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</si>
  <si>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</si>
  <si>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Somerset NHS Foundation Trust</t>
  </si>
  <si>
    <t>RH8</t>
  </si>
  <si>
    <t>RHM</t>
  </si>
  <si>
    <t>University Hospital Southampton NHS Foundation Trust</t>
  </si>
  <si>
    <t>RHQ</t>
  </si>
  <si>
    <t>Sheffield Teaching Hospitals NHS Foundation Trust</t>
  </si>
  <si>
    <t>RHU</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</si>
  <si>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</si>
  <si>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</si>
  <si>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</si>
  <si>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</si>
  <si>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</si>
  <si>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</si>
  <si>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</si>
  <si>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</si>
  <si>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</si>
  <si>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</si>
  <si>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RJC</t>
  </si>
  <si>
    <t>RJE</t>
  </si>
  <si>
    <t>RJL</t>
  </si>
  <si>
    <t>Northern Lincolnshire and Goole NHS Foundation Trust</t>
  </si>
  <si>
    <t>RJN</t>
  </si>
  <si>
    <t>East Cheshire NHS Trust</t>
  </si>
  <si>
    <t>RJR</t>
  </si>
  <si>
    <t>RJZ</t>
  </si>
  <si>
    <t>King's College Hospital NHS Foundation Trust</t>
  </si>
  <si>
    <t>RK5</t>
  </si>
  <si>
    <t>Sherwood Forest Hospitals NHS Foundation Trust</t>
  </si>
  <si>
    <t>RK9</t>
  </si>
  <si>
    <t>RKB</t>
  </si>
  <si>
    <t>University Hospitals Coventry and Warwickshire NHS Trust</t>
  </si>
  <si>
    <t>RKE</t>
  </si>
  <si>
    <t>RL4</t>
  </si>
  <si>
    <t>RLQ</t>
  </si>
  <si>
    <t>Wye Valley NHS Trust</t>
  </si>
  <si>
    <t>RLT</t>
  </si>
  <si>
    <t>George Eliot Hospital NHS Trust</t>
  </si>
  <si>
    <t>RM1</t>
  </si>
  <si>
    <t>Norfolk and Norwich University Hospitals NHS Foundation Trust</t>
  </si>
  <si>
    <t>RM3</t>
  </si>
  <si>
    <t>RMC</t>
  </si>
  <si>
    <t>Bolton NHS Foundation Trust</t>
  </si>
  <si>
    <t>RMP</t>
  </si>
  <si>
    <t>Tameside and Glossop Integrated Care NHS Foundation Trust</t>
  </si>
  <si>
    <t>RN3</t>
  </si>
  <si>
    <t>Great Western Hospitals NHS Foundation Trust</t>
  </si>
  <si>
    <t>RN5</t>
  </si>
  <si>
    <t>Hampshire Hospitals NHS Foundation Trust</t>
  </si>
  <si>
    <t>RN7</t>
  </si>
  <si>
    <t>Dartford and Gravesham NHS Trust</t>
  </si>
  <si>
    <t>RNA</t>
  </si>
  <si>
    <t>RNN</t>
  </si>
  <si>
    <t>North Cumbria Integrated Care NHS Foundation Trust</t>
  </si>
  <si>
    <t>RNQ</t>
  </si>
  <si>
    <t>Kettering General Hospital NHS Foundation Trust</t>
  </si>
  <si>
    <t>RNS</t>
  </si>
  <si>
    <t>Northampton General Hospital NHS Trust</t>
  </si>
  <si>
    <t>RNZ</t>
  </si>
  <si>
    <t>Salisbury NHS Foundation Trust</t>
  </si>
  <si>
    <t>RP5</t>
  </si>
  <si>
    <t>Doncaster and Bassetlaw Teaching Hospitals NHS Foundation Trust</t>
  </si>
  <si>
    <t>RPA</t>
  </si>
  <si>
    <t>Medway NHS Foundation Trust</t>
  </si>
  <si>
    <t>RPY</t>
  </si>
  <si>
    <t>RQM</t>
  </si>
  <si>
    <t>Chelsea and Westminster Hospital NHS Foundation Trust</t>
  </si>
  <si>
    <t>RQW</t>
  </si>
  <si>
    <t>RQX</t>
  </si>
  <si>
    <t>RR7</t>
  </si>
  <si>
    <t>Gateshead Health NHS Foundation Trust</t>
  </si>
  <si>
    <t>RR8</t>
  </si>
  <si>
    <t>Leeds Teaching Hospitals NHS Trust</t>
  </si>
  <si>
    <t>RRF</t>
  </si>
  <si>
    <t>Wrightington, Wigan and Leigh NHS Foundation Trust</t>
  </si>
  <si>
    <t>RRK</t>
  </si>
  <si>
    <t>University Hospitals Birmingham NHS Foundation Trust</t>
  </si>
  <si>
    <t>RRV</t>
  </si>
  <si>
    <t>University College London Hospitals NHS Foundation Trust</t>
  </si>
  <si>
    <t>RTD</t>
  </si>
  <si>
    <t>RTE</t>
  </si>
  <si>
    <t>Gloucestershire Hospitals NHS Foundation Trust</t>
  </si>
  <si>
    <t>RTF</t>
  </si>
  <si>
    <t>Northumbria Healthcare NHS Foundation Trust</t>
  </si>
  <si>
    <t>RTG</t>
  </si>
  <si>
    <t>RTH</t>
  </si>
  <si>
    <t>Oxford University Hospitals NHS Foundation Trust</t>
  </si>
  <si>
    <t>RTK</t>
  </si>
  <si>
    <t>Ashford and St Peter's Hospitals NHS Foundation Trust</t>
  </si>
  <si>
    <t>RTP</t>
  </si>
  <si>
    <t>Surrey and Sussex Healthcare NHS Trust</t>
  </si>
  <si>
    <t>RTR</t>
  </si>
  <si>
    <t>South Tees Hospitals NHS Foundation Trust</t>
  </si>
  <si>
    <t>RTX</t>
  </si>
  <si>
    <t>RVJ</t>
  </si>
  <si>
    <t>North Bristol NHS Trust</t>
  </si>
  <si>
    <t>RVR</t>
  </si>
  <si>
    <t>RVV</t>
  </si>
  <si>
    <t>East Kent Hospitals University NHS Foundation Trust</t>
  </si>
  <si>
    <t>RVW</t>
  </si>
  <si>
    <t>RWA</t>
  </si>
  <si>
    <t>Hull University Teaching Hospitals NHS Trust</t>
  </si>
  <si>
    <t>RWD</t>
  </si>
  <si>
    <t>United Lincolnshire Hospitals NHS Trust</t>
  </si>
  <si>
    <t>RWE</t>
  </si>
  <si>
    <t>RWF</t>
  </si>
  <si>
    <t>Maidstone and Tunbridge Wells NHS Trust</t>
  </si>
  <si>
    <t>RWG</t>
  </si>
  <si>
    <t>RWH</t>
  </si>
  <si>
    <t>East and North Hertfordshire NHS Trust</t>
  </si>
  <si>
    <t>RWJ</t>
  </si>
  <si>
    <t>Stockport NHS Foundation Trust</t>
  </si>
  <si>
    <t>RWP</t>
  </si>
  <si>
    <t>Worcestershire Acute Hospitals NHS Trust</t>
  </si>
  <si>
    <t>RWW</t>
  </si>
  <si>
    <t>RWY</t>
  </si>
  <si>
    <t>RX1</t>
  </si>
  <si>
    <t>Nottingham University Hospitals NHS Trust</t>
  </si>
  <si>
    <t>RXC</t>
  </si>
  <si>
    <t>East Sussex Healthcare NHS Trust</t>
  </si>
  <si>
    <t>RXF</t>
  </si>
  <si>
    <t>RXK</t>
  </si>
  <si>
    <t>Sandwell and West Birmingham Hospitals NHS Trust</t>
  </si>
  <si>
    <t>RXL</t>
  </si>
  <si>
    <t>Blackpool Teaching Hospitals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</si>
  <si>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</si>
  <si>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</si>
  <si>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</si>
  <si>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</si>
  <si>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</si>
  <si>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</si>
  <si>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</si>
  <si>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</si>
  <si>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RXW</t>
  </si>
  <si>
    <t>Shrewsbury and Telford Hospital NHS Trust</t>
  </si>
  <si>
    <t>RYJ</t>
  </si>
  <si>
    <t>Imperial College Healthcare NHS Trust</t>
  </si>
  <si>
    <t>RYR</t>
  </si>
  <si>
    <t>Trust name</t>
  </si>
  <si>
    <t>name</t>
  </si>
  <si>
    <t>NA</t>
  </si>
  <si>
    <t>Grand Total</t>
  </si>
  <si>
    <t>Count of trust_name</t>
  </si>
  <si>
    <t>Denominator:</t>
  </si>
  <si>
    <t xml:space="preserve"> </t>
  </si>
  <si>
    <t>Numerator:</t>
  </si>
  <si>
    <t>This sheet links user selection on the dashboard with codes etc required to query data sheets and return values to dashboard</t>
  </si>
  <si>
    <t>NATIONAL RESULTS</t>
  </si>
  <si>
    <t>n_trusts_in_CA</t>
  </si>
  <si>
    <t>cell name:</t>
  </si>
  <si>
    <t>cell value:</t>
  </si>
  <si>
    <t>Denominator (N)</t>
  </si>
  <si>
    <t>stage_p</t>
  </si>
  <si>
    <t>ps_p</t>
  </si>
  <si>
    <t>morph_p</t>
  </si>
  <si>
    <t>route_p</t>
  </si>
  <si>
    <t>basis_p</t>
  </si>
  <si>
    <t>ethnicity_p</t>
  </si>
  <si>
    <t>National</t>
  </si>
  <si>
    <t>dq_descr</t>
  </si>
  <si>
    <t>dq_name</t>
  </si>
  <si>
    <t>BAR CHART - DATA QUALITY</t>
  </si>
  <si>
    <t>bar_chart_dq_selected_trust_Xaxis</t>
  </si>
  <si>
    <t>bar_chart_dq_selected_trust_Yaxis</t>
  </si>
  <si>
    <t>SELECTED DATA QUALITY DOMAIN:</t>
  </si>
  <si>
    <t>selected_dq_value</t>
  </si>
  <si>
    <t>selected_dq_rank</t>
  </si>
  <si>
    <t>Data completeness for Basis of Diagnosis</t>
  </si>
  <si>
    <t>Data completeness for Ethnicity</t>
  </si>
  <si>
    <t>Data completeness for Performance Status</t>
  </si>
  <si>
    <t>Data completeness for Route to diagnosis</t>
  </si>
  <si>
    <t>selected_indicator_trust_value</t>
  </si>
  <si>
    <t>selected_indicator_trust_rank</t>
  </si>
  <si>
    <t xml:space="preserve">Max number of trusts per CA: </t>
  </si>
  <si>
    <t>bar_chart_dq_target_Xaxis</t>
  </si>
  <si>
    <t>bar_chart_dq_target_Yaxis</t>
  </si>
  <si>
    <t>1 (most deprived)</t>
  </si>
  <si>
    <t>5 (least deprived)</t>
  </si>
  <si>
    <t>NATIONAL</t>
  </si>
  <si>
    <t>TRUST</t>
  </si>
  <si>
    <t>RM Partners</t>
  </si>
  <si>
    <t>Please select a NHS TRUST from the dropdown box below:</t>
  </si>
  <si>
    <t>p_imdleast</t>
  </si>
  <si>
    <t>p_imd2</t>
  </si>
  <si>
    <t>p_imd3</t>
  </si>
  <si>
    <t>p_imd4</t>
  </si>
  <si>
    <t>p_imdmost</t>
  </si>
  <si>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</si>
  <si>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University Hospitals Sussex NHS Foundation Trust</t>
  </si>
  <si>
    <t>morph2_p</t>
  </si>
  <si>
    <t>n2</t>
  </si>
  <si>
    <t>dq_demon</t>
  </si>
  <si>
    <t>Data source:</t>
  </si>
  <si>
    <t xml:space="preserve">Data variable: </t>
  </si>
  <si>
    <t>Labels for x axis of figure on dashboard:</t>
  </si>
  <si>
    <t>Q2</t>
  </si>
  <si>
    <t>Q3</t>
  </si>
  <si>
    <t>Q4</t>
  </si>
  <si>
    <t>Q1</t>
  </si>
  <si>
    <t>denominator value at which data considered missing:</t>
  </si>
  <si>
    <t>denom_missing</t>
  </si>
  <si>
    <t>label_not_available</t>
  </si>
  <si>
    <t>indic_cell_ref_matrix</t>
  </si>
  <si>
    <t>indic_cell_ref_col_names</t>
  </si>
  <si>
    <t>indic_cell_ref_row_names</t>
  </si>
  <si>
    <t xml:space="preserve">cell value: </t>
  </si>
  <si>
    <t>!A1:BI1</t>
  </si>
  <si>
    <t>Table containing features of data quality metrics presented on the dashboard</t>
  </si>
  <si>
    <t>start_date_england</t>
  </si>
  <si>
    <t>end_date_england</t>
  </si>
  <si>
    <t xml:space="preserve">range name: </t>
  </si>
  <si>
    <t>Figure_Xaxis_labels</t>
  </si>
  <si>
    <t>KEY</t>
  </si>
  <si>
    <t>dropdown lists on dashboards</t>
  </si>
  <si>
    <t>dynamic text for front end worksheets</t>
  </si>
  <si>
    <t>publication_year</t>
  </si>
  <si>
    <t>publication_quarter</t>
  </si>
  <si>
    <t>Time period over which data completeness evaluated:</t>
  </si>
  <si>
    <t>CANCER ALLIANCE</t>
  </si>
  <si>
    <t>n_trusts</t>
  </si>
  <si>
    <t>n_ca</t>
  </si>
  <si>
    <t>Count of trusts and CA:</t>
  </si>
  <si>
    <t>selected_trust_ptc</t>
  </si>
  <si>
    <t>selected_trust_l</t>
  </si>
  <si>
    <t>selected_trust_xc</t>
  </si>
  <si>
    <t>selected_trust_xc_code</t>
  </si>
  <si>
    <t>selected_trust_xc_ca_name</t>
  </si>
  <si>
    <t>selected_trust_xc_ca_code</t>
  </si>
  <si>
    <t>selected_trust_l_code</t>
  </si>
  <si>
    <t>selected_trust_l_ca_name</t>
  </si>
  <si>
    <t>selected_trust_l_ca_code</t>
  </si>
  <si>
    <t>selected_trust_ptc_code</t>
  </si>
  <si>
    <t>selected_trust_ptc_ca_name</t>
  </si>
  <si>
    <t>selected_trust_ptc_ca_code</t>
  </si>
  <si>
    <t>SELECTED TRUST:</t>
  </si>
  <si>
    <t>Data quality metrics are reported as proportion complete and are calculated by dividing a numerator by a denominator, the definitions of which can be found to the right</t>
  </si>
  <si>
    <t>Please select a DATA QUALITY metric from the dropdown box below:</t>
  </si>
  <si>
    <t>Target (%):</t>
  </si>
  <si>
    <t>INDEX OF MULTIPLE DEPRIVATION QUINTILE</t>
  </si>
  <si>
    <t>Proportion complete (%)</t>
  </si>
  <si>
    <t>selected_dq_descr_xc</t>
  </si>
  <si>
    <t>selected_dq_name_xc</t>
  </si>
  <si>
    <t>selected_dq_target_xc</t>
  </si>
  <si>
    <t>selected_dq_denom_xc</t>
  </si>
  <si>
    <t>selected_dq_descr_l</t>
  </si>
  <si>
    <t>selected_dq_name_l</t>
  </si>
  <si>
    <t>selected_dq_target_l</t>
  </si>
  <si>
    <t>selected_dq_denom_l</t>
  </si>
  <si>
    <t>Used in dashboard presenting cross sectional data</t>
  </si>
  <si>
    <t>Used in dashboard presenting longitudinal data</t>
  </si>
  <si>
    <t>Used in dashboard presenting patient characteristics</t>
  </si>
  <si>
    <t>Cross section data quality worksheet - cell ref matrix</t>
  </si>
  <si>
    <t>Cross section data quality worksheet - cell ref col names</t>
  </si>
  <si>
    <t>Cross section data quality - cell ref row names</t>
  </si>
  <si>
    <t>Patient characteristic data quality worksheet - cell ref matrix</t>
  </si>
  <si>
    <t>Patient characteristic data quality - cell ref row names</t>
  </si>
  <si>
    <t>Patient characteristicdata quality worksheet - cell ref col names</t>
  </si>
  <si>
    <t>Patient characteristic data quality worksheet - cell ref col names</t>
  </si>
  <si>
    <t>range value:</t>
  </si>
  <si>
    <t>range name:</t>
  </si>
  <si>
    <t>dq_cell_ref_matrix</t>
  </si>
  <si>
    <t>dq_cell_ref_col_names</t>
  </si>
  <si>
    <t>dq_cell_ref_row_names</t>
  </si>
  <si>
    <t>dq_cell_ref_table</t>
  </si>
  <si>
    <t>selected_dq_num_xc</t>
  </si>
  <si>
    <t>selected_dq_datasource_xc</t>
  </si>
  <si>
    <t>selected_dq_datavar_xc</t>
  </si>
  <si>
    <t>selected_dq_denomdescr_xc</t>
  </si>
  <si>
    <t>selected_dq_time_xc</t>
  </si>
  <si>
    <t>selected_dq_num_l</t>
  </si>
  <si>
    <t>selected_dq_denomdescr_l</t>
  </si>
  <si>
    <t>selected_dq_datasource_l</t>
  </si>
  <si>
    <t>selected_dq_datavar_l</t>
  </si>
  <si>
    <t>selected_dq_time_l</t>
  </si>
  <si>
    <t>Lists!A10:I10</t>
  </si>
  <si>
    <t>table_trust_ca_assoc</t>
  </si>
  <si>
    <t>trusts_per_CA</t>
  </si>
  <si>
    <t>trust_dq_table</t>
  </si>
  <si>
    <t>national_dq_table</t>
  </si>
  <si>
    <t>trust_dq_rows</t>
  </si>
  <si>
    <t>trust_dq_cols</t>
  </si>
  <si>
    <t>national_dq_cols</t>
  </si>
  <si>
    <t>trust_ptc_table</t>
  </si>
  <si>
    <t>trust_ptc_rows</t>
  </si>
  <si>
    <t>trust_ptc_cols</t>
  </si>
  <si>
    <t>national_ptc_cols</t>
  </si>
  <si>
    <t>Note: to include additional data quality metrics in the longitudinal dashboard, add new worksheets with data structured as outlined in worksheet called "stage_p" and ensure names of new worksheets matches those listed in column B (column header: dq_name) in table below</t>
  </si>
  <si>
    <t>national_ptc_row</t>
  </si>
  <si>
    <t>description:</t>
  </si>
  <si>
    <t>Table containing cell references for back end data</t>
  </si>
  <si>
    <t>COLUMNS TO LEFT FOR STATA OUTPUT - COLUMNS TO RIGHT FOR POPULATING DASHBOARD</t>
  </si>
  <si>
    <t>description</t>
  </si>
  <si>
    <t xml:space="preserve">named cells used within worksheet called "data_staging_longitudinal"; replace missing data with: </t>
  </si>
  <si>
    <t>named cells used within worksheet called "data_staging_longitudinal"; Longitudinal data quality worksheet - cell ref matrix</t>
  </si>
  <si>
    <t>named cells used within worksheet called "data_staging_longitudinal"; Longitudinal data quality - cell ref col names</t>
  </si>
  <si>
    <t>named cells used within worksheet called "data_staging_longitudinal"; Longitudinal data quality - cell ref row names</t>
  </si>
  <si>
    <t>List of trusts, mapped to their cancer alliance - trust names listed alphabetically, so users can easlity find their trust of interest in the dropdown menu</t>
  </si>
  <si>
    <t>Cancer Alliance</t>
  </si>
  <si>
    <t>alliance_dq_table</t>
  </si>
  <si>
    <t>alliance_data_quality!$A$2:$A$22</t>
  </si>
  <si>
    <t>alliance_dq_rows</t>
  </si>
  <si>
    <t>alliance_dq_cols</t>
  </si>
  <si>
    <t>alliance_patient_chars!$B$2:$B$22</t>
  </si>
  <si>
    <t>alliance_ptc_table</t>
  </si>
  <si>
    <t>alliance_ptc_cols</t>
  </si>
  <si>
    <t>alliance_ptc_rows</t>
  </si>
  <si>
    <t>Number of trusts per cancer alliance - used to ensure length of table 2 (see worksheet "Dashboard-cross section") is sufficient to list all trusts within the largest cancer alliance - generated using pivot table - will need updating if table containing list of trusts changes</t>
  </si>
  <si>
    <t>N/A</t>
  </si>
  <si>
    <t>Rapid Cancer Registration Data</t>
  </si>
  <si>
    <t>basisofdiagnosis</t>
  </si>
  <si>
    <t>ethniccategory</t>
  </si>
  <si>
    <t>tumour_morphology</t>
  </si>
  <si>
    <t>tumour_performance</t>
  </si>
  <si>
    <t>final_route</t>
  </si>
  <si>
    <t>!A1:A123</t>
  </si>
  <si>
    <t>!A1:BI123</t>
  </si>
  <si>
    <t>trust_data_quality!$A$2:$A$123</t>
  </si>
  <si>
    <t>stage</t>
  </si>
  <si>
    <r>
      <t xml:space="preserve">NPaCA is part of the </t>
    </r>
    <r>
      <rPr>
        <u/>
        <sz val="11"/>
        <rFont val="Calibri"/>
        <family val="2"/>
        <scheme val="minor"/>
      </rPr>
      <t>National Cancer Audit Collaborating Centre (NATCAN)</t>
    </r>
    <r>
      <rPr>
        <sz val="11"/>
        <rFont val="Calibri"/>
        <family val="2"/>
        <scheme val="minor"/>
      </rPr>
      <t xml:space="preserve">, the home of the ten national cancer audits in England and Wales. This national centre of excellence was established to strengthen cancer services by evaluating the process of diagnosis and treatment, and outcomes in multiple cancer sites. </t>
    </r>
  </si>
  <si>
    <t>hist_p</t>
  </si>
  <si>
    <t>tumour_morphology &amp; basisofdiagnosis</t>
  </si>
  <si>
    <t>October 2022</t>
  </si>
  <si>
    <t>September 2023</t>
  </si>
  <si>
    <t>trust_data_quality!$A$2:$Q$123</t>
  </si>
  <si>
    <t>trust_data_quality!$A$1:$Q$1</t>
  </si>
  <si>
    <t>alliance_data_quality!$A$2:$O$22</t>
  </si>
  <si>
    <t>alliance_data_quality!$A$1:$O$1</t>
  </si>
  <si>
    <t>national_data_quality!$A$1:$N$2</t>
  </si>
  <si>
    <t>national_data_quality!$A$1:$N$1</t>
  </si>
  <si>
    <t>Number of people with a new diagnosis of pancreatic cancer, with a recorded Basis of Diagnosis</t>
  </si>
  <si>
    <t>Number of people with a new diagnosis of pancreatic cancer, with ethnicity recorded</t>
  </si>
  <si>
    <t>Number of people with a new diagnosis of pancreatic cancer, with morphology recorded</t>
  </si>
  <si>
    <t>Number of people with a new diagnosis of pancreatic cancer, with performance status recorded</t>
  </si>
  <si>
    <t>Number of people with a new diagnosis of pancreatic cancer, with route to diagnosis recorded</t>
  </si>
  <si>
    <t>Number of people with a new diagnosis of pancreatic cancer</t>
  </si>
  <si>
    <t>Number of people with a new diagnosis of pancreatic cancer with histology or cytology reported as basis of diagnosis</t>
  </si>
  <si>
    <t>CHARACTERISTIC</t>
  </si>
  <si>
    <t>Data completeness for Morphology (all diagnoses)</t>
  </si>
  <si>
    <t>Male</t>
  </si>
  <si>
    <t>Female</t>
  </si>
  <si>
    <t>SEX</t>
  </si>
  <si>
    <t>AGE</t>
  </si>
  <si>
    <t>&lt;60 years</t>
  </si>
  <si>
    <t>60-69 years</t>
  </si>
  <si>
    <t>70-79 years</t>
  </si>
  <si>
    <t>80+ years</t>
  </si>
  <si>
    <t>October 2021</t>
  </si>
  <si>
    <t>start_date_england_char</t>
  </si>
  <si>
    <t>end_date_england_char</t>
  </si>
  <si>
    <t>p_genmale</t>
  </si>
  <si>
    <t>p_genfemale</t>
  </si>
  <si>
    <t>p_age60</t>
  </si>
  <si>
    <t>p_age70</t>
  </si>
  <si>
    <t>p_age80</t>
  </si>
  <si>
    <t>p_age80plus</t>
  </si>
  <si>
    <t>trust_patient_char!$B$2:$B$123</t>
  </si>
  <si>
    <t>trust_patient_char!$A$2:$AK$123</t>
  </si>
  <si>
    <t>trust_patient_char!$A$1:$AK$1</t>
  </si>
  <si>
    <t>alliance_patient_chars!$A$2:$AK$22</t>
  </si>
  <si>
    <t>alliance_patient_chars!$A$1:$AK$1</t>
  </si>
  <si>
    <t>national_patient_chars!$A$2:$AJ$2</t>
  </si>
  <si>
    <t>national_patient_chars!$A$1:$AJ$1</t>
  </si>
  <si>
    <t>This work uses data that has been provided by patients and collected by the NHS as part of their care and support, including data that is collated, maintained and quality assured by the National Disease Registration Service, which is part of NHS England. 
Access to the data was facilitated by the NHS England Data Access Request Service.</t>
  </si>
  <si>
    <r>
      <rPr>
        <b/>
        <sz val="11"/>
        <color theme="1"/>
        <rFont val="Calibri"/>
        <family val="2"/>
        <scheme val="minor"/>
      </rPr>
      <t>The following professional organisations are represented by the audit clinical leads:</t>
    </r>
    <r>
      <rPr>
        <sz val="11"/>
        <color theme="1"/>
        <rFont val="Calibri"/>
        <family val="2"/>
        <scheme val="minor"/>
      </rPr>
      <t xml:space="preserve">
</t>
    </r>
    <r>
      <rPr>
        <sz val="8"/>
        <color theme="1"/>
        <rFont val="Wingdings"/>
        <charset val="2"/>
      </rPr>
      <t>l</t>
    </r>
    <r>
      <rPr>
        <sz val="11"/>
        <color theme="1"/>
        <rFont val="Calibri"/>
        <family val="2"/>
      </rPr>
      <t xml:space="preserve"> </t>
    </r>
    <r>
      <rPr>
        <sz val="11"/>
        <color theme="1"/>
        <rFont val="Calibri"/>
        <family val="2"/>
        <scheme val="minor"/>
      </rPr>
      <t xml:space="preserve">The Association of Upper Gastrointestinal Surgery of Great Britain and Ireland (AUGIS) is the speciality society that represents upper gastrointestinal surgeons. Registered Charity no: 1093090
</t>
    </r>
    <r>
      <rPr>
        <sz val="8"/>
        <color theme="1"/>
        <rFont val="Wingdings"/>
        <charset val="2"/>
      </rPr>
      <t>l</t>
    </r>
    <r>
      <rPr>
        <sz val="8"/>
        <color theme="1"/>
        <rFont val="Calibri"/>
        <family val="2"/>
        <scheme val="minor"/>
      </rPr>
      <t xml:space="preserve"> </t>
    </r>
    <r>
      <rPr>
        <sz val="11"/>
        <color theme="1"/>
        <rFont val="Calibri"/>
        <family val="2"/>
        <scheme val="minor"/>
      </rPr>
      <t xml:space="preserve">The British Society of Gastroenterology (BSG) is the speciality society of gastroenterologists. Registered Charity no: 1149074
</t>
    </r>
    <r>
      <rPr>
        <sz val="8"/>
        <color theme="1"/>
        <rFont val="Wingdings"/>
        <charset val="2"/>
      </rPr>
      <t>l</t>
    </r>
    <r>
      <rPr>
        <sz val="11"/>
        <color theme="1"/>
        <rFont val="Calibri"/>
        <family val="2"/>
        <scheme val="minor"/>
      </rPr>
      <t xml:space="preserve"> The Royal College of Radiologists is the professional body for clinical radiologists and clinical oncologists. Registered Charity no: 211540</t>
    </r>
  </si>
  <si>
    <t>USER GUIDE</t>
  </si>
  <si>
    <t xml:space="preserve">These cells contain dropdown menus where the user can select NHS Trust and Data Quality Metric of interest </t>
  </si>
  <si>
    <t>Acronym</t>
  </si>
  <si>
    <t>Description</t>
  </si>
  <si>
    <t>IMD</t>
  </si>
  <si>
    <t>Index of Multiple Deprivation</t>
  </si>
  <si>
    <t>RCRD</t>
  </si>
  <si>
    <t xml:space="preserve">Your local Data Improvement Lead, NDRS, will be able to help you find out information about your Cancer Outcomes Services Dataset (COSD) submissions. </t>
  </si>
  <si>
    <t xml:space="preserve">Table of contents </t>
  </si>
  <si>
    <t>Explanations</t>
  </si>
  <si>
    <t>This NPaCA report allocates records to NHS organisations based on the “trust at diagnosis” recorded within the RCRD dataset.</t>
  </si>
  <si>
    <t>NPaCA</t>
  </si>
  <si>
    <t>National Pancreatic Cancer Audit</t>
  </si>
  <si>
    <t>NATCAN</t>
  </si>
  <si>
    <t>National Cancer Audit Collaborating Centre</t>
  </si>
  <si>
    <t>ICD-10</t>
  </si>
  <si>
    <t>NCRAS</t>
  </si>
  <si>
    <t>NDRS</t>
  </si>
  <si>
    <t>COSD</t>
  </si>
  <si>
    <t>Cancer Outcomes and Services Dataset</t>
  </si>
  <si>
    <t>National Cancer Registration and Analysis Service</t>
  </si>
  <si>
    <t>National Disease Registration Service</t>
  </si>
  <si>
    <t>Rapid cancer registration dataset</t>
  </si>
  <si>
    <t>Healthcare Quality Improvement Partnership</t>
  </si>
  <si>
    <t>HQIP</t>
  </si>
  <si>
    <t>National Clinical Audit and Patient Outcomes Programme</t>
  </si>
  <si>
    <t>NCAPOP</t>
  </si>
  <si>
    <r>
      <t xml:space="preserve">The key COSD data requirements for NPaCA are available </t>
    </r>
    <r>
      <rPr>
        <u/>
        <sz val="11"/>
        <rFont val="Calibri"/>
        <family val="2"/>
        <scheme val="minor"/>
      </rPr>
      <t>here</t>
    </r>
    <r>
      <rPr>
        <sz val="11"/>
        <rFont val="Calibri"/>
        <family val="2"/>
        <scheme val="minor"/>
      </rPr>
      <t>.</t>
    </r>
  </si>
  <si>
    <r>
      <rPr>
        <b/>
        <sz val="11"/>
        <color theme="1"/>
        <rFont val="Calibri"/>
        <family val="2"/>
        <scheme val="minor"/>
      </rPr>
      <t>This report was prepared by members of the NPaCA project team:</t>
    </r>
    <r>
      <rPr>
        <sz val="11"/>
        <color theme="1"/>
        <rFont val="Calibri"/>
        <family val="2"/>
        <scheme val="minor"/>
      </rPr>
      <t xml:space="preserve">
Ganesh Radhakrishna, Clinical Lead (Clinical Oncology) &amp; RCR representative
Andrew Smith, Clinical Lead (Surgery) &amp; AUGIS representative
Nigel Trudgill, Clinical Lead (Gastroenterology) &amp; BSG representative
David Cromwell, Senior Methodologist, NATCAN
Min Hae Park, Methodologist, NATCAN
Amanda McDonell, Data Scientist, NATCAN
Vikki Hart, Senior Project Manager, NATCAN
</t>
    </r>
  </si>
  <si>
    <t>International Classification of Diseases 10th revision</t>
  </si>
  <si>
    <t>% among known</t>
  </si>
  <si>
    <t xml:space="preserve">Note: percentages may not add up to 100% due to rounding </t>
  </si>
  <si>
    <t>Calderdale and Huddersfield NHS Foundation Trust</t>
  </si>
  <si>
    <t>RM Partners West London</t>
  </si>
  <si>
    <t>Christie NHS Foundation Trust</t>
  </si>
  <si>
    <t>Clatterbridge Cancer Centre NHS Foundation Trust</t>
  </si>
  <si>
    <t>Countess Of Chester Hospital NHS Foundation Trust</t>
  </si>
  <si>
    <t>Dudley Group NHS Foundation Trust</t>
  </si>
  <si>
    <t>Epsom and St Helier University Hospitals NHS Trust</t>
  </si>
  <si>
    <t>Somerset, Wiltshire, Avon and Gloucestershire</t>
  </si>
  <si>
    <t>Hillingdon Hospitals NHS Foundation Trust</t>
  </si>
  <si>
    <t>Homerton Healthcare NHS Foundation Trust</t>
  </si>
  <si>
    <t>Humber and North Yorkshire</t>
  </si>
  <si>
    <t>Isle Of Wight NHS Trust</t>
  </si>
  <si>
    <t>London North West University Healthcare NHS Trust</t>
  </si>
  <si>
    <t>Mersey And West Lancashire Teaching Hospitals NHS Trust</t>
  </si>
  <si>
    <t>Mid Yorkshire Teaching NHS Trust</t>
  </si>
  <si>
    <t>Newcastle Upon Tyne Hospitals NHS Foundation Trust</t>
  </si>
  <si>
    <t>North Tees and Hartlepool NHS Foundation Trust</t>
  </si>
  <si>
    <t>Northern Care Alliance NHS Foundation Trust</t>
  </si>
  <si>
    <t>Portsmouth Hospitals University NHS Trust</t>
  </si>
  <si>
    <t>Princess Alexandra Hospital NHS Trust</t>
  </si>
  <si>
    <t>Queen Elizabeth Hospital, King's Lynn, NHS Foundation Trust</t>
  </si>
  <si>
    <t>Rotherham NHS Foundation Trust</t>
  </si>
  <si>
    <t>Royal Devon University Healthcare NHS Foundation Trust</t>
  </si>
  <si>
    <t>Royal Marsden NHS Foundation Trust</t>
  </si>
  <si>
    <t>Royal United Hospitals Bath NHS Foundation Trust</t>
  </si>
  <si>
    <t>Royal Wolverhampton NHS Trust</t>
  </si>
  <si>
    <t>South Warwickshire University NHS Foundation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</si>
  <si>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</si>
  <si>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</si>
  <si>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</si>
  <si>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</si>
  <si>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</si>
  <si>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Warrington and Halton Teaching Hospitals NHS Foundation Trust</t>
  </si>
  <si>
    <t>West Hertfordshire Teaching Hospitals NHS Trust</t>
  </si>
  <si>
    <t>Whittington Health NHS Trust</t>
  </si>
  <si>
    <t>York and Scarborough Teaching Hospitals NHS Foundation Trust</t>
  </si>
  <si>
    <t>N/A: not applicable</t>
  </si>
  <si>
    <t>Data completeness for Stage at diagnosis (based on TNM)</t>
  </si>
  <si>
    <t>Number of people with a new diagnosis of pancreatic cancer, with adequate TNM information to stage</t>
  </si>
  <si>
    <t>Lists!A11:I18</t>
  </si>
  <si>
    <t>Lists!A11:A18</t>
  </si>
  <si>
    <t>A51:D52</t>
  </si>
  <si>
    <t>Lists!A63:D184</t>
  </si>
  <si>
    <t>Lists!I63:J83</t>
  </si>
  <si>
    <t>Basis of diagnosis recorded as histology or cytology</t>
  </si>
  <si>
    <t>Number of people with a new diagnosis of pancreatic cancer, with Basis of Diagnosis recorded as histology or cytology</t>
  </si>
  <si>
    <t>Time periods that this report spans:</t>
  </si>
  <si>
    <r>
      <rPr>
        <sz val="11"/>
        <rFont val="Calibri"/>
        <family val="2"/>
        <scheme val="minor"/>
      </rPr>
      <t xml:space="preserve">The purpose of the National Pancreatic Cancer Audit (NPaCA) is to evaluate the patterns of care and outcomes for people with pancreatic cancer in England and Wales, and to support services to improve the quality of care. More details of the audit aims and scope can be found on our </t>
    </r>
    <r>
      <rPr>
        <u/>
        <sz val="11"/>
        <rFont val="Calibri"/>
        <family val="2"/>
        <scheme val="minor"/>
      </rPr>
      <t>webpage</t>
    </r>
    <r>
      <rPr>
        <sz val="11"/>
        <rFont val="Calibri"/>
        <family val="2"/>
        <scheme val="minor"/>
      </rPr>
      <t>.</t>
    </r>
  </si>
  <si>
    <t>Further resources on data quality</t>
  </si>
  <si>
    <r>
      <t xml:space="preserve">Please refer to our FAQs for </t>
    </r>
    <r>
      <rPr>
        <u/>
        <sz val="11"/>
        <color rgb="FF000000"/>
        <rFont val="Calibri"/>
        <family val="2"/>
        <scheme val="minor"/>
      </rPr>
      <t>current NDRS regional contacts</t>
    </r>
    <r>
      <rPr>
        <sz val="11"/>
        <color rgb="FF000000"/>
        <rFont val="Calibri"/>
        <family val="2"/>
        <scheme val="minor"/>
      </rPr>
      <t>.</t>
    </r>
  </si>
  <si>
    <r>
      <t xml:space="preserve">Allocation of diagnoses to trusts
</t>
    </r>
    <r>
      <rPr>
        <sz val="11"/>
        <color theme="1"/>
        <rFont val="Calibri"/>
        <family val="2"/>
        <scheme val="minor"/>
      </rPr>
      <t>This NPaCA report allocates records to NHS organisations based on the “trust at diagnosis” recorded within the RCRD dataset. The speed of production of the RCRD means that the allocation of diagnoses to trusts is based on best information available at the time of RCRD production; this can result in some misallocation of diagnoses, particularly to tertiary centres which do not typically diagnose large numbers of people with pancreatic cancer.</t>
    </r>
  </si>
  <si>
    <r>
      <rPr>
        <sz val="11"/>
        <rFont val="Calibri"/>
        <family val="2"/>
        <scheme val="minor"/>
      </rPr>
      <t>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t>
    </r>
    <r>
      <rPr>
        <u/>
        <sz val="11"/>
        <color theme="10"/>
        <rFont val="Calibri"/>
        <family val="2"/>
        <scheme val="minor"/>
      </rPr>
      <t xml:space="preserve"> 
https://www.hqip.org.uk/national-programmes </t>
    </r>
  </si>
  <si>
    <t>Data quality dashboard</t>
  </si>
  <si>
    <t>Acknowledgements</t>
  </si>
  <si>
    <t>Patient characteristics</t>
  </si>
  <si>
    <r>
      <rPr>
        <b/>
        <sz val="11"/>
        <color theme="1"/>
        <rFont val="Calibri"/>
        <family val="2"/>
        <scheme val="minor"/>
      </rPr>
      <t>Citation for this document:</t>
    </r>
    <r>
      <rPr>
        <sz val="11"/>
        <color theme="1"/>
        <rFont val="Calibri"/>
        <family val="2"/>
        <scheme val="minor"/>
      </rPr>
      <t xml:space="preserve">
</t>
    </r>
    <r>
      <rPr>
        <sz val="11"/>
        <rFont val="Calibri"/>
        <family val="2"/>
        <scheme val="minor"/>
      </rPr>
      <t>National Pancreatic Cancer Audit: Quarterly Report April 2024. London: Royal College of Surgeons of England, 2024.</t>
    </r>
    <r>
      <rPr>
        <sz val="11"/>
        <color theme="1"/>
        <rFont val="Calibri"/>
        <family val="2"/>
        <scheme val="minor"/>
      </rPr>
      <t xml:space="preserve">
</t>
    </r>
    <r>
      <rPr>
        <b/>
        <sz val="11"/>
        <color theme="1"/>
        <rFont val="Calibri"/>
        <family val="2"/>
        <scheme val="minor"/>
      </rPr>
      <t>© 2024 Healthcare Quality Improvement Partnership (HQIP)</t>
    </r>
    <r>
      <rPr>
        <sz val="11"/>
        <color theme="1"/>
        <rFont val="Calibri"/>
        <family val="2"/>
        <scheme val="minor"/>
      </rPr>
      <t xml:space="preserve">
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</si>
  <si>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r>
      <rPr>
        <b/>
        <sz val="11"/>
        <rFont val="Calibri"/>
        <family val="2"/>
        <scheme val="minor"/>
      </rPr>
      <t xml:space="preserve">Data sources used by NATCAN: </t>
    </r>
    <r>
      <rPr>
        <sz val="11"/>
        <rFont val="Calibri"/>
        <family val="2"/>
        <scheme val="minor"/>
      </rPr>
      <t>In England, NATCAN receives information from the National Cancer Registration and Analysis Service (NCRAS), part of the National Disease Registration Service (NDRS), NHS England. NDRS collects patient-level data from all NHS acute providers on people with cancer using a range of national data-feeds. This includes the Cancer Registration datasets and the Cancer Outcomes and Services Dataset (COSD). COSD data are submitted to the NDRS on a monthly basis via Multidisciplinary Team electronic data collection systems. Clinical sign-off of data submitted to NDRS is not mandated in England. The information held in the registration dataset is compiled from a number of sources.</t>
    </r>
  </si>
  <si>
    <r>
      <rPr>
        <b/>
        <sz val="11"/>
        <rFont val="Calibri"/>
        <family val="2"/>
        <scheme val="minor"/>
      </rPr>
      <t xml:space="preserve">Data source used in this report: </t>
    </r>
    <r>
      <rPr>
        <sz val="11"/>
        <rFont val="Calibri"/>
        <family val="2"/>
        <scheme val="minor"/>
      </rPr>
      <t xml:space="preserve">For this quarterly report, the NPaCA utilised data from the Rapid Cancer Registration Dataset (RCRD). This is the first time this data has been reported on for NPaCA. This dataset is compiled mainly from COSD records, and is made available more quickly than the complete cancer registration dataset. However, the speed of production means that the range of data items is limited and several standard data items in the complete registration dataset are unavailable. It also does not have complete coverage of all patients diagnosed with pancreatic cancer in England during the reporting period. For more information regarding the RCRD, including the data dictionary, visit the </t>
    </r>
    <r>
      <rPr>
        <u/>
        <sz val="11"/>
        <rFont val="Calibri"/>
        <family val="2"/>
        <scheme val="minor"/>
      </rPr>
      <t>RCRD webpage</t>
    </r>
    <r>
      <rPr>
        <sz val="11"/>
        <rFont val="Calibri"/>
        <family val="2"/>
        <scheme val="minor"/>
      </rPr>
      <t xml:space="preserve"> maintained by NHS England. The dataset was received by NATCAN in February 2024 and contained patient data submitted to NDRS by English NHS trusts for people diagnosed between 1st January 2018 and 31st October 2023. The period of 1st October 2022 to 30th September 2023 was selected for reporting data quality as it covers the most recent complete four quarters of data (Q4 2022 to Q3 2023). Results are reported for this one year period, rather than quarterly, to ensure sufficiently large numbers of records are included to produce reliable estimates at the trust level. The two year period of 1st October 2021 to 30th September 2023 was selected for the reporting of patient characteristics to avoid reporting based on small numbers at the trust level, particularly for categorical variables with multiple subgroup options.</t>
    </r>
  </si>
  <si>
    <r>
      <t xml:space="preserve">Selection of variables for inclusion in the data quality dashboard
</t>
    </r>
    <r>
      <rPr>
        <sz val="11"/>
        <rFont val="Calibri"/>
        <family val="2"/>
        <scheme val="minor"/>
      </rPr>
      <t>Overall, the RCRD has very good data completeness and many variables are 100% complete across diagnoses; however, some variables have less than 100% completeness, and it is these variables that were selected for reporting. When analysing data quality, the NPaCA team recoded values as "missing" that would not be useful in practice and/or are not plausible values. For instance, values such as "not known", "not specified", or "not recorded" were considered to be missing, and implausible values such as performance status values other than 0-4 were considered to be missing.</t>
    </r>
  </si>
  <si>
    <r>
      <t xml:space="preserve">Handling of small numbers
</t>
    </r>
    <r>
      <rPr>
        <sz val="11"/>
        <rFont val="Calibri"/>
        <family val="2"/>
        <scheme val="minor"/>
      </rPr>
      <t xml:space="preserve">There is no need to suppress small numbers for data completeness metrics, but it is required for patient characteristics to minimise risk of disclosing protected information. For this reason, a longer time period was selected for reporting of patient characteristics (2 years) compared to data quality (1 year) to increase the volume of diagnoses per trust. Thereafter, small numbers were handled as follows: firstly, patient characteristics were only presented where the denominator included </t>
    </r>
    <r>
      <rPr>
        <sz val="11"/>
        <rFont val="Aptos Narrow"/>
        <family val="2"/>
      </rPr>
      <t>≥</t>
    </r>
    <r>
      <rPr>
        <sz val="11"/>
        <rFont val="Calibri"/>
        <family val="2"/>
        <scheme val="minor"/>
      </rPr>
      <t>25 people; secondly, information about patient characteristics is presented as percentages rather than frequencies.</t>
    </r>
  </si>
  <si>
    <t>Note: Functionality in the "Data quality dashboard" and "Patient characteristics" tabs is optimised with the latest Excel version in Microsoft 365. Using older versions of Excel may limit some functions.</t>
  </si>
  <si>
    <r>
      <rPr>
        <b/>
        <sz val="11"/>
        <rFont val="Calibri"/>
        <family val="2"/>
        <scheme val="minor"/>
      </rPr>
      <t xml:space="preserve">Audit cohort: </t>
    </r>
    <r>
      <rPr>
        <sz val="11"/>
        <rFont val="Calibri"/>
        <family val="2"/>
        <scheme val="minor"/>
      </rPr>
      <t xml:space="preserve">The cohort was selected based on ICD-10 codes C24 (malignant neoplasm of other and unspecified parts of biliary tract) &amp; C25 (malignant neoplasm of pancreas), excluding diagnoses based on death certificate only. In future reports, a subset of C24 and C25 codes will be used to define the cohort of people included in the audit. Please refer to the </t>
    </r>
    <r>
      <rPr>
        <u/>
        <sz val="11"/>
        <rFont val="Calibri"/>
        <family val="2"/>
        <scheme val="minor"/>
      </rPr>
      <t>NPaCA Scoping Document</t>
    </r>
    <r>
      <rPr>
        <sz val="11"/>
        <rFont val="Calibri"/>
        <family val="2"/>
        <scheme val="minor"/>
      </rPr>
      <t xml:space="preserve"> for more details.</t>
    </r>
  </si>
  <si>
    <t>This quarterly report provides an overview of the quality of key data items captured in the rapid cancer registration data for people diagnosed in NHS trusts with pancreatic cancer in England between 1st October 2022 and 30th September 2023, at NHS trust and Cancer Alliance levels. A high-level summary of patient characteristics is also provided at NHS trust and Cancer Alliance levels. This first quarterly report, and the next one published in July, focus on data quality. From September 2024, the quarterly reports will report on performance indicators relevant to pancreatic cancer. These first quarterly reports on data quality are intended to highlight to trusts where data submissions to COSD could be improved to enable better reporting on performance indicators in the future.</t>
  </si>
  <si>
    <t>Data completeness for Morphology (for diagnoses with histology or cytology as basis of diagnosis)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</si>
</sst>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_ ;\-#,##0.00\ "/>
    <numFmt numFmtId="166" formatCode="0_ ;\-0\ "/>
    <numFmt numFmtId="167" formatCode="0.0"/>
  </numFmts>
  <fonts count="25" x14ac:knownFonts="1">
    <font>
      <sz val="11"/>
      <color theme="1"/>
      <name val="Calibri"/>
      <family val="2"/>
      <scheme val="minor"/>
    </font>
    <font>
      <b/>
      <sz val="11"/>
      <color theme="1"/>
      <name val="Calibri"/>
      <family val="2"/>
      <scheme val="minor"/>
    </font>
    <font>
      <u/>
      <sz val="11"/>
      <color theme="1"/>
      <name val="Calibri"/>
      <family val="2"/>
      <scheme val="minor"/>
    </font>
    <font>
      <sz val="11"/>
      <color theme="1"/>
      <name val="Calibri"/>
      <family val="2"/>
      <scheme val="minor"/>
    </font>
    <font>
      <sz val="8"/>
      <name val="Calibri"/>
      <family val="2"/>
      <scheme val="minor"/>
    </font>
    <font>
      <sz val="10"/>
      <name val="Arial"/>
      <family val="2"/>
    </font>
    <font>
      <sz val="10"/>
      <name val="Arial"/>
      <family val="2"/>
    </font>
    <font>
      <b/>
      <sz val="10"/>
      <name val="Arial"/>
      <family val="2"/>
    </font>
    <font>
      <sz val="10"/>
      <color theme="1"/>
      <name val="Calibri"/>
      <family val="2"/>
      <scheme val="minor"/>
    </font>
    <font>
      <sz val="11"/>
      <name val="Calibri"/>
      <family val="2"/>
      <scheme val="minor"/>
    </font>
    <font>
      <u/>
      <sz val="11"/>
      <color theme="10"/>
      <name val="Calibri"/>
      <family val="2"/>
      <scheme val="minor"/>
    </font>
    <font>
      <u/>
      <sz val="11"/>
      <name val="Calibri"/>
      <family val="2"/>
      <scheme val="minor"/>
    </font>
    <font>
      <sz val="11"/>
      <color theme="1"/>
      <name val="Calibri"/>
      <family val="2"/>
    </font>
    <font>
      <sz val="8"/>
      <color theme="1"/>
      <name val="Wingdings"/>
      <charset val="2"/>
    </font>
    <font>
      <sz val="8"/>
      <color theme="1"/>
      <name val="Calibri"/>
      <family val="2"/>
      <scheme val="minor"/>
    </font>
    <font>
      <b/>
      <u/>
      <sz val="11"/>
      <color theme="1"/>
      <name val="Calibri"/>
      <family val="2"/>
      <scheme val="minor"/>
    </font>
    <font>
      <sz val="11"/>
      <color rgb="FF000000"/>
      <name val="Calibri"/>
      <family val="2"/>
      <scheme val="minor"/>
    </font>
    <font>
      <u/>
      <sz val="11"/>
      <color rgb="FF000000"/>
      <name val="Calibri"/>
      <family val="2"/>
      <scheme val="minor"/>
    </font>
    <font>
      <b/>
      <sz val="14"/>
      <color theme="1"/>
      <name val="Calibri"/>
      <family val="2"/>
      <scheme val="minor"/>
    </font>
    <font>
      <sz val="14"/>
      <color theme="1"/>
      <name val="Calibri"/>
      <family val="2"/>
      <scheme val="minor"/>
    </font>
    <font>
      <b/>
      <sz val="14"/>
      <color rgb="FF000000"/>
      <name val="Calibri"/>
      <family val="2"/>
    </font>
    <font>
      <b/>
      <sz val="11"/>
      <name val="Calibri"/>
      <family val="2"/>
      <scheme val="minor"/>
    </font>
    <font>
      <sz val="11"/>
      <name val="Aptos Narrow"/>
      <family val="2"/>
    </font>
    <font>
      <sz val="11"/>
      <name val="Calibri"/>
    </font>
    <font>
      <sz val="12"/>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theme="0" tint="-0.14999847407452621"/>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33">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1"/>
      </top>
      <bottom/>
      <diagonal/>
    </border>
    <border>
      <left/>
      <right style="medium">
        <color indexed="64"/>
      </right>
      <top style="thin">
        <color theme="1"/>
      </top>
      <bottom/>
      <diagonal/>
    </border>
    <border>
      <left style="medium">
        <color indexed="64"/>
      </left>
      <right/>
      <top/>
      <bottom/>
      <diagonal/>
    </border>
    <border>
      <left/>
      <right style="medium">
        <color indexed="64"/>
      </right>
      <top/>
      <bottom/>
      <diagonal/>
    </border>
    <border>
      <left/>
      <right style="medium">
        <color indexed="64"/>
      </right>
      <top style="thin">
        <color theme="1"/>
      </top>
      <bottom style="medium">
        <color indexed="64"/>
      </bottom>
      <diagonal/>
    </border>
    <border>
      <left/>
      <right/>
      <top style="thin">
        <color theme="1"/>
      </top>
      <bottom style="thin">
        <color indexed="64"/>
      </bottom>
      <diagonal/>
    </border>
    <border>
      <left/>
      <right/>
      <top style="thin">
        <color indexed="64"/>
      </top>
      <bottom style="medium">
        <color indexed="64"/>
      </bottom>
      <diagonal/>
    </border>
  </borders>
  <cellStyleXfs count="13">
    <xf numFmtId="0" fontId="0" fillId="0" borderId="0"/>
    <xf numFmtId="43" fontId="3" fillId="0" borderId="0" applyFont="0" applyFill="0" applyBorder="0" applyAlignment="0" applyProtection="0"/>
    <xf numFmtId="0" fontId="6" fillId="0" borderId="0"/>
    <xf numFmtId="0" fontId="5"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5" fillId="0" borderId="0"/>
    <xf numFmtId="9" fontId="3" fillId="0" borderId="0" applyFont="0" applyFill="0" applyBorder="0" applyAlignment="0" applyProtection="0"/>
    <xf numFmtId="0" fontId="10" fillId="0" borderId="0" applyNumberFormat="0" applyFill="0" applyBorder="0" applyAlignment="0" applyProtection="0"/>
    <xf numFmtId="0" fontId="23" fillId="0" borderId="0"/>
  </cellStyleXfs>
  <cellXfs count="180">
    <xf numFmtId="0" fontId="0" fillId="0" borderId="0" xfId="0"/>
    <xf numFmtId="0" fontId="1" fillId="0" borderId="0" xfId="0" applyFont="1"/>
    <xf numFmtId="1" fontId="0" fillId="0" borderId="0" xfId="0" applyNumberFormat="1"/>
    <xf numFmtId="0" fontId="0" fillId="2" borderId="0" xfId="0" applyFill="1"/>
    <xf numFmtId="2" fontId="0" fillId="0" borderId="0" xfId="0" applyNumberFormat="1"/>
    <xf numFmtId="0" fontId="0" fillId="0" borderId="0" xfId="0" applyAlignment="1">
      <alignment wrapText="1"/>
    </xf>
    <xf numFmtId="0" fontId="1" fillId="0" borderId="5" xfId="0" applyFont="1" applyBorder="1"/>
    <xf numFmtId="0" fontId="0" fillId="3" borderId="5" xfId="0" applyFill="1" applyBorder="1"/>
    <xf numFmtId="0" fontId="0" fillId="0" borderId="6" xfId="0" applyBorder="1"/>
    <xf numFmtId="1" fontId="0" fillId="0" borderId="6" xfId="0" applyNumberFormat="1" applyBorder="1"/>
    <xf numFmtId="0" fontId="1" fillId="0" borderId="6" xfId="0" applyFont="1" applyBorder="1"/>
    <xf numFmtId="1" fontId="1" fillId="0" borderId="6" xfId="0" applyNumberFormat="1" applyFont="1" applyBorder="1"/>
    <xf numFmtId="2" fontId="0" fillId="0" borderId="6" xfId="0" applyNumberFormat="1" applyBorder="1"/>
    <xf numFmtId="2" fontId="1" fillId="0" borderId="5" xfId="0" applyNumberFormat="1" applyFont="1" applyBorder="1"/>
    <xf numFmtId="0" fontId="0" fillId="0" borderId="0" xfId="0" applyAlignment="1">
      <alignment horizontal="right"/>
    </xf>
    <xf numFmtId="0" fontId="0" fillId="3" borderId="11" xfId="0" applyFill="1" applyBorder="1"/>
    <xf numFmtId="2" fontId="0" fillId="3" borderId="11" xfId="0" applyNumberFormat="1" applyFill="1" applyBorder="1"/>
    <xf numFmtId="0" fontId="6" fillId="0" borderId="0" xfId="2"/>
    <xf numFmtId="166" fontId="0" fillId="0" borderId="0" xfId="1" applyNumberFormat="1" applyFont="1"/>
    <xf numFmtId="0" fontId="7" fillId="0" borderId="5" xfId="3" applyFont="1" applyBorder="1"/>
    <xf numFmtId="167" fontId="0" fillId="0" borderId="0" xfId="0" applyNumberFormat="1"/>
    <xf numFmtId="0" fontId="0" fillId="0" borderId="0" xfId="0" applyAlignment="1">
      <alignment vertical="top" wrapText="1"/>
    </xf>
    <xf numFmtId="0" fontId="0" fillId="2" borderId="4" xfId="0" applyFill="1" applyBorder="1"/>
    <xf numFmtId="0" fontId="0" fillId="0" borderId="19" xfId="0" applyBorder="1"/>
    <xf numFmtId="0" fontId="0" fillId="0" borderId="20" xfId="0" applyBorder="1"/>
    <xf numFmtId="0" fontId="0" fillId="0" borderId="21" xfId="0" applyBorder="1"/>
    <xf numFmtId="0" fontId="0" fillId="0" borderId="23" xfId="0" applyBorder="1"/>
    <xf numFmtId="0" fontId="8" fillId="0" borderId="0" xfId="0" applyFont="1"/>
    <xf numFmtId="0" fontId="8" fillId="0" borderId="24" xfId="0" applyFont="1" applyBorder="1" applyAlignment="1">
      <alignment horizontal="center"/>
    </xf>
    <xf numFmtId="0" fontId="7" fillId="0" borderId="5" xfId="2" applyFont="1" applyBorder="1"/>
    <xf numFmtId="166" fontId="5" fillId="3" borderId="11" xfId="1" applyNumberFormat="1" applyFont="1" applyFill="1" applyBorder="1"/>
    <xf numFmtId="0" fontId="0" fillId="6" borderId="5" xfId="0" applyFill="1" applyBorder="1"/>
    <xf numFmtId="0" fontId="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top"/>
    </xf>
    <xf numFmtId="0" fontId="1" fillId="0" borderId="20" xfId="0" applyFont="1" applyBorder="1"/>
    <xf numFmtId="0" fontId="0" fillId="6" borderId="27" xfId="0" applyFill="1" applyBorder="1"/>
    <xf numFmtId="0" fontId="0" fillId="6" borderId="0" xfId="0" applyFill="1"/>
    <xf numFmtId="0" fontId="0" fillId="6" borderId="1" xfId="0" applyFill="1" applyBorder="1"/>
    <xf numFmtId="0" fontId="0" fillId="0" borderId="19" xfId="0" pivotButton="1" applyBorder="1"/>
    <xf numFmtId="0" fontId="0" fillId="2" borderId="28" xfId="0" applyFill="1" applyBorder="1" applyAlignment="1">
      <alignment horizontal="left"/>
    </xf>
    <xf numFmtId="0" fontId="0" fillId="2" borderId="29" xfId="0" applyFill="1" applyBorder="1"/>
    <xf numFmtId="0" fontId="0" fillId="0" borderId="22" xfId="0" applyBorder="1" applyAlignment="1">
      <alignment horizontal="left"/>
    </xf>
    <xf numFmtId="0" fontId="0" fillId="0" borderId="8" xfId="0" applyBorder="1" applyAlignment="1">
      <alignment horizontal="left"/>
    </xf>
    <xf numFmtId="0" fontId="9" fillId="7" borderId="6" xfId="8" applyFont="1" applyFill="1" applyBorder="1"/>
    <xf numFmtId="0" fontId="9" fillId="8" borderId="6" xfId="8" applyFont="1" applyFill="1" applyBorder="1"/>
    <xf numFmtId="0" fontId="0" fillId="2" borderId="6" xfId="0" applyFill="1" applyBorder="1"/>
    <xf numFmtId="43" fontId="0" fillId="0" borderId="0" xfId="1" applyFont="1"/>
    <xf numFmtId="164" fontId="0" fillId="0" borderId="0" xfId="1" applyNumberFormat="1" applyFont="1"/>
    <xf numFmtId="43" fontId="6" fillId="0" borderId="0" xfId="1" applyFont="1"/>
    <xf numFmtId="2" fontId="6" fillId="0" borderId="0" xfId="2" applyNumberFormat="1"/>
    <xf numFmtId="2" fontId="0" fillId="3" borderId="5" xfId="0" applyNumberFormat="1" applyFill="1" applyBorder="1"/>
    <xf numFmtId="2" fontId="0" fillId="3" borderId="4" xfId="0" applyNumberFormat="1" applyFill="1" applyBorder="1"/>
    <xf numFmtId="2" fontId="0" fillId="3" borderId="0" xfId="0" applyNumberFormat="1" applyFill="1"/>
    <xf numFmtId="2" fontId="0" fillId="0" borderId="4" xfId="0" applyNumberFormat="1" applyBorder="1"/>
    <xf numFmtId="164" fontId="6" fillId="0" borderId="0" xfId="1" applyNumberFormat="1" applyFont="1" applyFill="1"/>
    <xf numFmtId="164" fontId="0" fillId="0" borderId="0" xfId="1" applyNumberFormat="1" applyFont="1" applyFill="1"/>
    <xf numFmtId="0" fontId="5" fillId="6" borderId="5" xfId="3" applyFill="1" applyBorder="1"/>
    <xf numFmtId="0" fontId="5" fillId="2" borderId="0" xfId="3" applyFill="1"/>
    <xf numFmtId="0" fontId="5" fillId="6" borderId="0" xfId="3" applyFill="1"/>
    <xf numFmtId="0" fontId="5" fillId="6" borderId="4" xfId="3" applyFill="1" applyBorder="1"/>
    <xf numFmtId="0" fontId="0" fillId="2" borderId="9" xfId="0" applyFill="1" applyBorder="1"/>
    <xf numFmtId="0" fontId="0" fillId="2" borderId="22" xfId="0" applyFill="1" applyBorder="1"/>
    <xf numFmtId="0" fontId="0" fillId="2" borderId="23" xfId="0" applyFill="1" applyBorder="1"/>
    <xf numFmtId="0" fontId="0" fillId="2" borderId="1" xfId="0" applyFill="1" applyBorder="1"/>
    <xf numFmtId="0" fontId="0" fillId="6" borderId="0" xfId="0" applyFill="1" applyAlignment="1">
      <alignment horizontal="right"/>
    </xf>
    <xf numFmtId="0" fontId="8" fillId="2" borderId="25" xfId="0" applyFont="1" applyFill="1" applyBorder="1" applyAlignment="1">
      <alignment horizontal="left"/>
    </xf>
    <xf numFmtId="0" fontId="8" fillId="2" borderId="24" xfId="0" applyFont="1" applyFill="1" applyBorder="1" applyAlignment="1">
      <alignment horizontal="left"/>
    </xf>
    <xf numFmtId="0" fontId="0" fillId="6" borderId="30" xfId="0" applyFill="1" applyBorder="1"/>
    <xf numFmtId="49" fontId="0" fillId="2" borderId="1" xfId="0" applyNumberFormat="1" applyFill="1" applyBorder="1"/>
    <xf numFmtId="0" fontId="0" fillId="6" borderId="31" xfId="0" applyFill="1" applyBorder="1"/>
    <xf numFmtId="0" fontId="0" fillId="6" borderId="3" xfId="0" applyFill="1" applyBorder="1"/>
    <xf numFmtId="0" fontId="0" fillId="6" borderId="7" xfId="0" applyFill="1" applyBorder="1"/>
    <xf numFmtId="0" fontId="0" fillId="6" borderId="2" xfId="0" applyFill="1" applyBorder="1"/>
    <xf numFmtId="0" fontId="0" fillId="2" borderId="3" xfId="0" applyFill="1" applyBorder="1"/>
    <xf numFmtId="49" fontId="0" fillId="2" borderId="22" xfId="0" applyNumberFormat="1" applyFill="1" applyBorder="1"/>
    <xf numFmtId="0" fontId="0" fillId="2" borderId="19" xfId="0" applyFill="1" applyBorder="1"/>
    <xf numFmtId="0" fontId="0" fillId="2" borderId="20" xfId="0" applyFill="1" applyBorder="1"/>
    <xf numFmtId="0" fontId="2" fillId="0" borderId="0" xfId="0" applyFont="1"/>
    <xf numFmtId="0" fontId="9" fillId="0" borderId="0" xfId="11" applyFont="1" applyAlignment="1">
      <alignment wrapText="1"/>
    </xf>
    <xf numFmtId="164" fontId="5" fillId="0" borderId="0" xfId="1" applyNumberFormat="1" applyFont="1" applyFill="1"/>
    <xf numFmtId="2" fontId="5" fillId="0" borderId="0" xfId="2" applyNumberFormat="1" applyFont="1"/>
    <xf numFmtId="1" fontId="5" fillId="0" borderId="5" xfId="3" applyNumberFormat="1" applyBorder="1"/>
    <xf numFmtId="1" fontId="5" fillId="0" borderId="0" xfId="3" applyNumberFormat="1"/>
    <xf numFmtId="1" fontId="5" fillId="0" borderId="4" xfId="3" applyNumberFormat="1" applyBorder="1"/>
    <xf numFmtId="49" fontId="0" fillId="6" borderId="26" xfId="0" applyNumberFormat="1" applyFill="1" applyBorder="1"/>
    <xf numFmtId="49" fontId="0" fillId="6" borderId="28" xfId="0" applyNumberFormat="1" applyFill="1" applyBorder="1"/>
    <xf numFmtId="49" fontId="0" fillId="2" borderId="28" xfId="0" applyNumberFormat="1" applyFill="1" applyBorder="1"/>
    <xf numFmtId="49" fontId="0" fillId="6" borderId="22" xfId="0" applyNumberFormat="1" applyFill="1" applyBorder="1"/>
    <xf numFmtId="0" fontId="9" fillId="0" borderId="0" xfId="0" applyFont="1" applyAlignment="1">
      <alignment wrapText="1"/>
    </xf>
    <xf numFmtId="0" fontId="0" fillId="9" borderId="0" xfId="0" applyFill="1"/>
    <xf numFmtId="0" fontId="0" fillId="4" borderId="6" xfId="0" applyFill="1" applyBorder="1"/>
    <xf numFmtId="0" fontId="9" fillId="9" borderId="0" xfId="11" applyFont="1" applyFill="1" applyAlignment="1">
      <alignment wrapText="1"/>
    </xf>
    <xf numFmtId="0" fontId="15" fillId="9" borderId="0" xfId="0" applyFont="1" applyFill="1"/>
    <xf numFmtId="0" fontId="0" fillId="9" borderId="0" xfId="0" applyFill="1" applyAlignment="1">
      <alignment wrapText="1"/>
    </xf>
    <xf numFmtId="0" fontId="0" fillId="9" borderId="32" xfId="0" applyFill="1" applyBorder="1"/>
    <xf numFmtId="0" fontId="0" fillId="9" borderId="1" xfId="0" applyFill="1" applyBorder="1"/>
    <xf numFmtId="0" fontId="16" fillId="9" borderId="0" xfId="11" applyFont="1" applyFill="1" applyAlignment="1">
      <alignment wrapText="1"/>
    </xf>
    <xf numFmtId="0" fontId="1" fillId="9" borderId="0" xfId="0" applyFont="1" applyFill="1" applyAlignment="1">
      <alignment horizontal="left" wrapText="1"/>
    </xf>
    <xf numFmtId="0" fontId="18" fillId="0" borderId="0" xfId="0" applyFont="1"/>
    <xf numFmtId="0" fontId="19" fillId="0" borderId="0" xfId="0" applyFont="1"/>
    <xf numFmtId="1" fontId="19" fillId="0" borderId="0" xfId="0" applyNumberFormat="1" applyFont="1"/>
    <xf numFmtId="0" fontId="19" fillId="0" borderId="0" xfId="0" applyFont="1" applyAlignment="1">
      <alignment horizontal="left"/>
    </xf>
    <xf numFmtId="0" fontId="18" fillId="0" borderId="12" xfId="0" applyFont="1" applyBorder="1" applyAlignment="1">
      <alignment vertical="center"/>
    </xf>
    <xf numFmtId="0" fontId="19" fillId="0" borderId="7" xfId="0" applyFont="1" applyBorder="1"/>
    <xf numFmtId="0" fontId="18" fillId="0" borderId="16" xfId="0" applyFont="1" applyBorder="1" applyAlignment="1">
      <alignment vertical="center"/>
    </xf>
    <xf numFmtId="0" fontId="18" fillId="0" borderId="14" xfId="0" applyFont="1" applyBorder="1" applyAlignment="1">
      <alignment vertical="center"/>
    </xf>
    <xf numFmtId="0" fontId="19" fillId="0" borderId="3" xfId="0" applyFont="1" applyBorder="1"/>
    <xf numFmtId="0" fontId="18" fillId="0" borderId="3" xfId="0" applyFont="1" applyBorder="1" applyAlignment="1">
      <alignment horizontal="center" vertical="center" wrapText="1"/>
    </xf>
    <xf numFmtId="0" fontId="19" fillId="0" borderId="16" xfId="0" applyFont="1" applyBorder="1"/>
    <xf numFmtId="3" fontId="19" fillId="0" borderId="0" xfId="0" applyNumberFormat="1" applyFont="1" applyAlignment="1">
      <alignment horizontal="right" vertical="center" indent="2"/>
    </xf>
    <xf numFmtId="10" fontId="19" fillId="0" borderId="0" xfId="10" applyNumberFormat="1" applyFont="1" applyAlignment="1">
      <alignment horizontal="center" vertical="center"/>
    </xf>
    <xf numFmtId="0" fontId="19" fillId="0" borderId="17" xfId="0" applyFont="1" applyBorder="1" applyAlignment="1">
      <alignment horizontal="center" vertical="center"/>
    </xf>
    <xf numFmtId="0" fontId="19" fillId="0" borderId="14" xfId="0" applyFont="1" applyBorder="1"/>
    <xf numFmtId="3" fontId="19" fillId="0" borderId="3" xfId="0" applyNumberFormat="1" applyFont="1" applyBorder="1" applyAlignment="1">
      <alignment horizontal="right" vertical="center" indent="2"/>
    </xf>
    <xf numFmtId="10" fontId="19" fillId="0" borderId="3" xfId="10" applyNumberFormat="1" applyFont="1" applyBorder="1" applyAlignment="1">
      <alignment horizontal="center" vertical="center"/>
    </xf>
    <xf numFmtId="0" fontId="19" fillId="5" borderId="15" xfId="0" applyFont="1" applyFill="1" applyBorder="1" applyAlignment="1">
      <alignment horizontal="center" vertical="center"/>
    </xf>
    <xf numFmtId="0" fontId="19" fillId="0" borderId="3" xfId="0" applyFont="1" applyBorder="1" applyAlignment="1">
      <alignment vertical="top"/>
    </xf>
    <xf numFmtId="2" fontId="19" fillId="0" borderId="16" xfId="0" applyNumberFormat="1" applyFont="1" applyBorder="1"/>
    <xf numFmtId="2" fontId="19" fillId="0" borderId="0" xfId="0" applyNumberFormat="1" applyFont="1"/>
    <xf numFmtId="2" fontId="19" fillId="0" borderId="14" xfId="0" applyNumberFormat="1" applyFont="1" applyBorder="1"/>
    <xf numFmtId="0" fontId="19" fillId="0" borderId="15" xfId="0" applyFont="1" applyBorder="1" applyAlignment="1">
      <alignment horizontal="center" vertical="center"/>
    </xf>
    <xf numFmtId="167" fontId="19" fillId="0" borderId="0" xfId="0" applyNumberFormat="1" applyFont="1"/>
    <xf numFmtId="0" fontId="19" fillId="0" borderId="0" xfId="0" applyFont="1" applyAlignment="1">
      <alignment horizontal="left" vertical="top" wrapText="1"/>
    </xf>
    <xf numFmtId="0" fontId="19" fillId="0" borderId="0" xfId="0" applyFont="1" applyAlignment="1">
      <alignment horizontal="left" vertical="top" wrapText="1" indent="3"/>
    </xf>
    <xf numFmtId="0" fontId="19" fillId="0" borderId="0" xfId="0" applyFont="1" applyAlignment="1">
      <alignment vertical="top" wrapText="1"/>
    </xf>
    <xf numFmtId="0" fontId="18" fillId="0" borderId="0" xfId="0" applyFont="1" applyAlignment="1">
      <alignment horizontal="left" vertical="top"/>
    </xf>
    <xf numFmtId="0" fontId="19" fillId="0" borderId="0" xfId="0" applyFont="1" applyAlignment="1">
      <alignment horizontal="left" vertical="center"/>
    </xf>
    <xf numFmtId="0" fontId="19" fillId="0" borderId="0" xfId="0" applyFont="1" applyAlignment="1">
      <alignment horizontal="left" vertical="center" indent="3"/>
    </xf>
    <xf numFmtId="0" fontId="18" fillId="0" borderId="0" xfId="0" applyFont="1" applyAlignment="1">
      <alignment horizontal="left" vertical="center"/>
    </xf>
    <xf numFmtId="9" fontId="19" fillId="0" borderId="0" xfId="10" applyFont="1" applyAlignment="1">
      <alignment horizontal="left" vertical="center"/>
    </xf>
    <xf numFmtId="0" fontId="18" fillId="0" borderId="7" xfId="0" applyFont="1" applyBorder="1" applyAlignment="1">
      <alignment horizontal="left" vertical="top" wrapText="1"/>
    </xf>
    <xf numFmtId="0" fontId="20" fillId="0" borderId="0" xfId="0" applyFont="1" applyAlignment="1">
      <alignment vertical="top"/>
    </xf>
    <xf numFmtId="0" fontId="18" fillId="0" borderId="2" xfId="0" applyFont="1" applyBorder="1" applyAlignment="1">
      <alignment horizontal="center"/>
    </xf>
    <xf numFmtId="0" fontId="18" fillId="0" borderId="18" xfId="0" applyFont="1" applyBorder="1" applyAlignment="1">
      <alignment horizontal="center"/>
    </xf>
    <xf numFmtId="0" fontId="18" fillId="0" borderId="16" xfId="0" applyFont="1" applyBorder="1"/>
    <xf numFmtId="0" fontId="19" fillId="0" borderId="17" xfId="0" applyFont="1" applyBorder="1"/>
    <xf numFmtId="0" fontId="19" fillId="0" borderId="16" xfId="0" applyFont="1" applyBorder="1" applyAlignment="1">
      <alignment horizontal="left" indent="2"/>
    </xf>
    <xf numFmtId="0" fontId="19" fillId="0" borderId="0" xfId="0" applyFont="1" applyAlignment="1">
      <alignment horizontal="right"/>
    </xf>
    <xf numFmtId="165" fontId="19" fillId="0" borderId="17" xfId="1" applyNumberFormat="1" applyFont="1" applyBorder="1" applyAlignment="1">
      <alignment horizontal="right"/>
    </xf>
    <xf numFmtId="0" fontId="18" fillId="0" borderId="12" xfId="0" applyFont="1" applyBorder="1"/>
    <xf numFmtId="0" fontId="19" fillId="0" borderId="7" xfId="0" applyFont="1" applyBorder="1" applyAlignment="1">
      <alignment horizontal="right"/>
    </xf>
    <xf numFmtId="4" fontId="19" fillId="0" borderId="13" xfId="0" applyNumberFormat="1" applyFont="1" applyBorder="1" applyAlignment="1">
      <alignment horizontal="right"/>
    </xf>
    <xf numFmtId="0" fontId="19" fillId="0" borderId="13" xfId="0" applyFont="1" applyBorder="1" applyAlignment="1">
      <alignment horizontal="right"/>
    </xf>
    <xf numFmtId="0" fontId="19" fillId="0" borderId="14" xfId="0" applyFont="1" applyBorder="1" applyAlignment="1">
      <alignment horizontal="left" indent="2"/>
    </xf>
    <xf numFmtId="0" fontId="19" fillId="0" borderId="3" xfId="0" applyFont="1" applyBorder="1" applyAlignment="1">
      <alignment horizontal="right"/>
    </xf>
    <xf numFmtId="165" fontId="19" fillId="0" borderId="15" xfId="1" applyNumberFormat="1" applyFont="1" applyBorder="1" applyAlignment="1">
      <alignment horizontal="right"/>
    </xf>
    <xf numFmtId="0" fontId="18" fillId="0" borderId="18" xfId="0" applyFont="1" applyBorder="1" applyAlignment="1">
      <alignment horizontal="center" vertical="center" wrapText="1"/>
    </xf>
    <xf numFmtId="167" fontId="0" fillId="0" borderId="6" xfId="0" applyNumberFormat="1" applyBorder="1"/>
    <xf numFmtId="0" fontId="11" fillId="0" borderId="0" xfId="11" applyFont="1" applyAlignment="1">
      <alignment wrapText="1"/>
    </xf>
    <xf numFmtId="0" fontId="0" fillId="9" borderId="0" xfId="0" applyFill="1" applyAlignment="1">
      <alignment horizontal="left" wrapText="1"/>
    </xf>
    <xf numFmtId="0" fontId="10" fillId="0" borderId="0" xfId="11" applyAlignment="1">
      <alignment vertical="top" wrapText="1"/>
    </xf>
    <xf numFmtId="0" fontId="9" fillId="0" borderId="0" xfId="11" applyFont="1" applyAlignment="1">
      <alignment vertical="top" wrapText="1"/>
    </xf>
    <xf numFmtId="0" fontId="11" fillId="0" borderId="0" xfId="11" applyFont="1"/>
    <xf numFmtId="0" fontId="9" fillId="0" borderId="0" xfId="0" applyFont="1"/>
    <xf numFmtId="0" fontId="9" fillId="0" borderId="0" xfId="0" applyFont="1" applyAlignment="1">
      <alignment vertical="top" wrapText="1"/>
    </xf>
    <xf numFmtId="0" fontId="21" fillId="9" borderId="0" xfId="0" applyFont="1" applyFill="1" applyAlignment="1">
      <alignment horizontal="left" wrapText="1"/>
    </xf>
    <xf numFmtId="1" fontId="23" fillId="0" borderId="0" xfId="12" applyNumberFormat="1"/>
    <xf numFmtId="2" fontId="23" fillId="0" borderId="0" xfId="12" applyNumberFormat="1"/>
    <xf numFmtId="0" fontId="24" fillId="0" borderId="0" xfId="0" applyFont="1"/>
    <xf numFmtId="0" fontId="9" fillId="0" borderId="0" xfId="11" applyFont="1" applyAlignment="1">
      <alignment vertical="top" wrapText="1"/>
    </xf>
    <xf numFmtId="0" fontId="19" fillId="0" borderId="0" xfId="0" applyFont="1" applyAlignment="1">
      <alignment horizontal="left" vertical="top"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top" wrapText="1"/>
    </xf>
    <xf numFmtId="0" fontId="19" fillId="0" borderId="0" xfId="0" applyFont="1" applyAlignment="1">
      <alignment horizontal="left" wrapText="1"/>
    </xf>
    <xf numFmtId="1" fontId="18" fillId="0" borderId="13" xfId="0" applyNumberFormat="1" applyFont="1" applyBorder="1" applyAlignment="1">
      <alignment horizontal="left" vertical="top" wrapText="1"/>
    </xf>
    <xf numFmtId="1" fontId="18" fillId="0" borderId="15" xfId="0" applyNumberFormat="1" applyFont="1" applyBorder="1" applyAlignment="1">
      <alignment horizontal="left" vertical="top" wrapText="1"/>
    </xf>
    <xf numFmtId="1" fontId="18" fillId="0" borderId="17" xfId="0" applyNumberFormat="1" applyFont="1" applyBorder="1" applyAlignment="1">
      <alignment horizontal="left" vertical="top" wrapText="1"/>
    </xf>
    <xf numFmtId="0" fontId="19" fillId="4" borderId="8"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9" xfId="0" applyFont="1" applyFill="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7" xfId="0" applyFont="1" applyBorder="1" applyAlignment="1">
      <alignment horizontal="left" vertical="top"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cellXfs>
  <cellStyles count="13">
    <cellStyle name="Comma" xfId="1" builtinId="3"/>
    <cellStyle name="Comma 2" xfId="5" xr:uid="{00000000-0005-0000-0000-000001000000}"/>
    <cellStyle name="Hyperlink" xfId="11" builtinId="8"/>
    <cellStyle name="Normal" xfId="0" builtinId="0"/>
    <cellStyle name="Normal 2" xfId="2" xr:uid="{00000000-0005-0000-0000-000004000000}"/>
    <cellStyle name="Normal 2 2" xfId="7" xr:uid="{00000000-0005-0000-0000-000005000000}"/>
    <cellStyle name="Normal 3" xfId="3" xr:uid="{00000000-0005-0000-0000-000006000000}"/>
    <cellStyle name="Normal 4" xfId="4" xr:uid="{00000000-0005-0000-0000-000007000000}"/>
    <cellStyle name="Normal 5" xfId="8" xr:uid="{00000000-0005-0000-0000-000008000000}"/>
    <cellStyle name="Normal 6" xfId="9" xr:uid="{00000000-0005-0000-0000-000009000000}"/>
    <cellStyle name="Normal 7" xfId="12" xr:uid="{2CE075D8-47F1-471B-8830-08761451254F}"/>
    <cellStyle name="Percent" xfId="10" builtinId="5"/>
    <cellStyle name="Percent 2" xfId="6" xr:uid="{00000000-0005-0000-0000-00000B000000}"/>
  </cellStyles>
  <dxfs count="47">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5700"/>
      </font>
      <fill>
        <patternFill>
          <bgColor rgb="FFFFEB9C"/>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2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NHS trusts in England</c:v>
          </c:tx>
          <c:spPr>
            <a:solidFill>
              <a:srgbClr val="29696A"/>
            </a:solidFill>
            <a:ln w="25400">
              <a:solidFill>
                <a:srgbClr val="29696A"/>
              </a:solidFill>
            </a:ln>
            <a:effectLst/>
          </c:spPr>
          <c:cat>
            <c:numRef>
              <c:f>trust_data_quality!$Q$2:$Q$123</c:f>
              <c:numCache>
                <c:formatCode>0.00</c:formatCode>
                <c:ptCount val="122"/>
                <c:pt idx="0">
                  <c:v>1</c:v>
                </c:pt>
                <c:pt idx="1">
                  <c:v>98</c:v>
                </c:pt>
                <c:pt idx="2">
                  <c:v>106</c:v>
                </c:pt>
                <c:pt idx="3">
                  <c:v>74</c:v>
                </c:pt>
                <c:pt idx="4">
                  <c:v>102</c:v>
                </c:pt>
                <c:pt idx="5">
                  <c:v>74</c:v>
                </c:pt>
                <c:pt idx="6">
                  <c:v>73</c:v>
                </c:pt>
                <c:pt idx="7">
                  <c:v>1</c:v>
                </c:pt>
                <c:pt idx="8">
                  <c:v>1</c:v>
                </c:pt>
                <c:pt idx="9">
                  <c:v>1</c:v>
                </c:pt>
                <c:pt idx="10">
                  <c:v>1</c:v>
                </c:pt>
                <c:pt idx="11">
                  <c:v>109</c:v>
                </c:pt>
                <c:pt idx="12">
                  <c:v>65</c:v>
                </c:pt>
                <c:pt idx="13">
                  <c:v>83</c:v>
                </c:pt>
                <c:pt idx="14">
                  <c:v>96</c:v>
                </c:pt>
                <c:pt idx="15">
                  <c:v>1</c:v>
                </c:pt>
                <c:pt idx="16">
                  <c:v>1</c:v>
                </c:pt>
                <c:pt idx="17">
                  <c:v>53</c:v>
                </c:pt>
                <c:pt idx="18">
                  <c:v>122</c:v>
                </c:pt>
                <c:pt idx="19">
                  <c:v>108</c:v>
                </c:pt>
                <c:pt idx="20">
                  <c:v>1</c:v>
                </c:pt>
                <c:pt idx="21">
                  <c:v>103</c:v>
                </c:pt>
                <c:pt idx="22">
                  <c:v>1</c:v>
                </c:pt>
                <c:pt idx="23">
                  <c:v>1</c:v>
                </c:pt>
                <c:pt idx="24">
                  <c:v>1</c:v>
                </c:pt>
                <c:pt idx="25">
                  <c:v>1</c:v>
                </c:pt>
                <c:pt idx="26">
                  <c:v>48</c:v>
                </c:pt>
                <c:pt idx="27">
                  <c:v>72</c:v>
                </c:pt>
                <c:pt idx="28">
                  <c:v>65</c:v>
                </c:pt>
                <c:pt idx="29">
                  <c:v>1</c:v>
                </c:pt>
                <c:pt idx="30">
                  <c:v>87</c:v>
                </c:pt>
                <c:pt idx="31">
                  <c:v>1</c:v>
                </c:pt>
                <c:pt idx="32">
                  <c:v>1</c:v>
                </c:pt>
                <c:pt idx="33">
                  <c:v>118</c:v>
                </c:pt>
                <c:pt idx="34">
                  <c:v>74</c:v>
                </c:pt>
                <c:pt idx="35">
                  <c:v>62</c:v>
                </c:pt>
                <c:pt idx="36">
                  <c:v>1</c:v>
                </c:pt>
                <c:pt idx="37">
                  <c:v>64</c:v>
                </c:pt>
                <c:pt idx="38">
                  <c:v>114</c:v>
                </c:pt>
                <c:pt idx="39">
                  <c:v>120</c:v>
                </c:pt>
                <c:pt idx="40">
                  <c:v>54</c:v>
                </c:pt>
                <c:pt idx="41">
                  <c:v>111</c:v>
                </c:pt>
                <c:pt idx="42">
                  <c:v>103</c:v>
                </c:pt>
                <c:pt idx="43">
                  <c:v>55</c:v>
                </c:pt>
                <c:pt idx="44">
                  <c:v>94</c:v>
                </c:pt>
                <c:pt idx="45">
                  <c:v>99</c:v>
                </c:pt>
                <c:pt idx="46">
                  <c:v>1</c:v>
                </c:pt>
                <c:pt idx="47">
                  <c:v>58</c:v>
                </c:pt>
                <c:pt idx="48">
                  <c:v>1</c:v>
                </c:pt>
                <c:pt idx="49">
                  <c:v>112</c:v>
                </c:pt>
                <c:pt idx="50">
                  <c:v>1</c:v>
                </c:pt>
                <c:pt idx="51">
                  <c:v>113</c:v>
                </c:pt>
                <c:pt idx="52">
                  <c:v>107</c:v>
                </c:pt>
                <c:pt idx="53">
                  <c:v>1</c:v>
                </c:pt>
                <c:pt idx="54">
                  <c:v>114</c:v>
                </c:pt>
                <c:pt idx="55">
                  <c:v>1</c:v>
                </c:pt>
                <c:pt idx="56">
                  <c:v>97</c:v>
                </c:pt>
                <c:pt idx="57">
                  <c:v>70</c:v>
                </c:pt>
                <c:pt idx="58">
                  <c:v>69</c:v>
                </c:pt>
                <c:pt idx="59">
                  <c:v>90</c:v>
                </c:pt>
                <c:pt idx="60">
                  <c:v>49</c:v>
                </c:pt>
                <c:pt idx="61">
                  <c:v>121</c:v>
                </c:pt>
                <c:pt idx="62">
                  <c:v>1</c:v>
                </c:pt>
                <c:pt idx="63">
                  <c:v>1</c:v>
                </c:pt>
                <c:pt idx="64">
                  <c:v>99</c:v>
                </c:pt>
                <c:pt idx="65">
                  <c:v>52</c:v>
                </c:pt>
                <c:pt idx="66">
                  <c:v>101</c:v>
                </c:pt>
                <c:pt idx="67">
                  <c:v>89</c:v>
                </c:pt>
                <c:pt idx="68">
                  <c:v>94</c:v>
                </c:pt>
                <c:pt idx="69">
                  <c:v>1</c:v>
                </c:pt>
                <c:pt idx="70">
                  <c:v>1</c:v>
                </c:pt>
                <c:pt idx="71">
                  <c:v>51</c:v>
                </c:pt>
                <c:pt idx="72">
                  <c:v>1</c:v>
                </c:pt>
                <c:pt idx="73">
                  <c:v>68</c:v>
                </c:pt>
                <c:pt idx="74">
                  <c:v>1</c:v>
                </c:pt>
                <c:pt idx="75">
                  <c:v>110</c:v>
                </c:pt>
                <c:pt idx="76">
                  <c:v>119</c:v>
                </c:pt>
                <c:pt idx="77">
                  <c:v>1</c:v>
                </c:pt>
                <c:pt idx="78">
                  <c:v>80</c:v>
                </c:pt>
                <c:pt idx="79">
                  <c:v>116</c:v>
                </c:pt>
                <c:pt idx="80">
                  <c:v>47</c:v>
                </c:pt>
                <c:pt idx="81">
                  <c:v>74</c:v>
                </c:pt>
                <c:pt idx="82">
                  <c:v>84</c:v>
                </c:pt>
                <c:pt idx="83">
                  <c:v>1</c:v>
                </c:pt>
                <c:pt idx="84">
                  <c:v>57</c:v>
                </c:pt>
                <c:pt idx="85">
                  <c:v>60</c:v>
                </c:pt>
                <c:pt idx="86">
                  <c:v>1</c:v>
                </c:pt>
                <c:pt idx="87">
                  <c:v>92</c:v>
                </c:pt>
                <c:pt idx="88">
                  <c:v>1</c:v>
                </c:pt>
                <c:pt idx="89">
                  <c:v>1</c:v>
                </c:pt>
                <c:pt idx="90">
                  <c:v>74</c:v>
                </c:pt>
                <c:pt idx="91">
                  <c:v>56</c:v>
                </c:pt>
                <c:pt idx="92">
                  <c:v>1</c:v>
                </c:pt>
                <c:pt idx="93">
                  <c:v>90</c:v>
                </c:pt>
                <c:pt idx="94">
                  <c:v>1</c:v>
                </c:pt>
                <c:pt idx="95">
                  <c:v>1</c:v>
                </c:pt>
                <c:pt idx="96">
                  <c:v>1</c:v>
                </c:pt>
                <c:pt idx="97">
                  <c:v>1</c:v>
                </c:pt>
                <c:pt idx="98">
                  <c:v>62</c:v>
                </c:pt>
                <c:pt idx="99">
                  <c:v>93</c:v>
                </c:pt>
                <c:pt idx="100">
                  <c:v>1</c:v>
                </c:pt>
                <c:pt idx="101">
                  <c:v>1</c:v>
                </c:pt>
                <c:pt idx="102">
                  <c:v>88</c:v>
                </c:pt>
                <c:pt idx="103">
                  <c:v>61</c:v>
                </c:pt>
                <c:pt idx="104">
                  <c:v>86</c:v>
                </c:pt>
                <c:pt idx="105">
                  <c:v>1</c:v>
                </c:pt>
                <c:pt idx="106">
                  <c:v>74</c:v>
                </c:pt>
                <c:pt idx="107">
                  <c:v>50</c:v>
                </c:pt>
                <c:pt idx="108">
                  <c:v>1</c:v>
                </c:pt>
                <c:pt idx="109">
                  <c:v>85</c:v>
                </c:pt>
                <c:pt idx="110">
                  <c:v>59</c:v>
                </c:pt>
                <c:pt idx="111">
                  <c:v>103</c:v>
                </c:pt>
                <c:pt idx="112">
                  <c:v>82</c:v>
                </c:pt>
                <c:pt idx="113">
                  <c:v>1</c:v>
                </c:pt>
                <c:pt idx="114">
                  <c:v>1</c:v>
                </c:pt>
                <c:pt idx="115">
                  <c:v>80</c:v>
                </c:pt>
                <c:pt idx="116">
                  <c:v>1</c:v>
                </c:pt>
                <c:pt idx="117">
                  <c:v>1</c:v>
                </c:pt>
                <c:pt idx="118">
                  <c:v>70</c:v>
                </c:pt>
                <c:pt idx="119">
                  <c:v>67</c:v>
                </c:pt>
                <c:pt idx="120">
                  <c:v>116</c:v>
                </c:pt>
                <c:pt idx="121">
                  <c:v>1</c:v>
                </c:pt>
              </c:numCache>
            </c:numRef>
          </c:cat>
          <c:val>
            <c:numRef>
              <c:f>trust_data_quality!$P$2:$P$123</c:f>
              <c:numCache>
                <c:formatCode>0.00</c:formatCode>
                <c:ptCount val="122"/>
                <c:pt idx="0">
                  <c:v>1</c:v>
                </c:pt>
                <c:pt idx="1">
                  <c:v>0.8125</c:v>
                </c:pt>
                <c:pt idx="2">
                  <c:v>0.75999999046325684</c:v>
                </c:pt>
                <c:pt idx="3">
                  <c:v>0.89999997615814209</c:v>
                </c:pt>
                <c:pt idx="4">
                  <c:v>0.80555558204650879</c:v>
                </c:pt>
                <c:pt idx="5">
                  <c:v>0.89999997615814209</c:v>
                </c:pt>
                <c:pt idx="6">
                  <c:v>0.90909093618392944</c:v>
                </c:pt>
                <c:pt idx="7">
                  <c:v>1</c:v>
                </c:pt>
                <c:pt idx="8">
                  <c:v>1</c:v>
                </c:pt>
                <c:pt idx="9">
                  <c:v>1</c:v>
                </c:pt>
                <c:pt idx="10">
                  <c:v>1</c:v>
                </c:pt>
                <c:pt idx="11">
                  <c:v>0.68000000715255737</c:v>
                </c:pt>
                <c:pt idx="12">
                  <c:v>0.93333333730697632</c:v>
                </c:pt>
                <c:pt idx="13">
                  <c:v>0.88235294818878174</c:v>
                </c:pt>
                <c:pt idx="14">
                  <c:v>0.82608693838119507</c:v>
                </c:pt>
                <c:pt idx="15">
                  <c:v>1</c:v>
                </c:pt>
                <c:pt idx="16">
                  <c:v>1</c:v>
                </c:pt>
                <c:pt idx="17">
                  <c:v>0.96666663885116577</c:v>
                </c:pt>
                <c:pt idx="18">
                  <c:v>0.18181818723678589</c:v>
                </c:pt>
                <c:pt idx="19">
                  <c:v>0.68421053886413574</c:v>
                </c:pt>
                <c:pt idx="20">
                  <c:v>1</c:v>
                </c:pt>
                <c:pt idx="21">
                  <c:v>0.80000001192092896</c:v>
                </c:pt>
                <c:pt idx="22">
                  <c:v>1</c:v>
                </c:pt>
                <c:pt idx="23">
                  <c:v>1</c:v>
                </c:pt>
                <c:pt idx="24">
                  <c:v>1</c:v>
                </c:pt>
                <c:pt idx="25">
                  <c:v>1</c:v>
                </c:pt>
                <c:pt idx="26">
                  <c:v>0.98529410362243652</c:v>
                </c:pt>
                <c:pt idx="27">
                  <c:v>0.91228067874908447</c:v>
                </c:pt>
                <c:pt idx="28">
                  <c:v>0.93333333730697632</c:v>
                </c:pt>
                <c:pt idx="29">
                  <c:v>1</c:v>
                </c:pt>
                <c:pt idx="30">
                  <c:v>0.86666667461395264</c:v>
                </c:pt>
                <c:pt idx="31">
                  <c:v>1</c:v>
                </c:pt>
                <c:pt idx="32">
                  <c:v>1</c:v>
                </c:pt>
                <c:pt idx="33">
                  <c:v>0.39473685622215271</c:v>
                </c:pt>
                <c:pt idx="34">
                  <c:v>0.89999997615814209</c:v>
                </c:pt>
                <c:pt idx="35">
                  <c:v>0.94117647409439087</c:v>
                </c:pt>
                <c:pt idx="36">
                  <c:v>1</c:v>
                </c:pt>
                <c:pt idx="37">
                  <c:v>0.9375</c:v>
                </c:pt>
                <c:pt idx="38">
                  <c:v>0.60000002384185791</c:v>
                </c:pt>
                <c:pt idx="39">
                  <c:v>0.3333333432674408</c:v>
                </c:pt>
                <c:pt idx="40">
                  <c:v>0.96610170602798462</c:v>
                </c:pt>
                <c:pt idx="41">
                  <c:v>0.6388888955116272</c:v>
                </c:pt>
                <c:pt idx="42">
                  <c:v>0.80000001192092896</c:v>
                </c:pt>
                <c:pt idx="43">
                  <c:v>0.96551722288131714</c:v>
                </c:pt>
                <c:pt idx="44">
                  <c:v>0.8461538553237915</c:v>
                </c:pt>
                <c:pt idx="45">
                  <c:v>0.8095238208770752</c:v>
                </c:pt>
                <c:pt idx="46">
                  <c:v>1</c:v>
                </c:pt>
                <c:pt idx="47">
                  <c:v>0.95652174949645996</c:v>
                </c:pt>
                <c:pt idx="48">
                  <c:v>1</c:v>
                </c:pt>
                <c:pt idx="49">
                  <c:v>0.63043481111526489</c:v>
                </c:pt>
                <c:pt idx="50">
                  <c:v>1</c:v>
                </c:pt>
                <c:pt idx="51">
                  <c:v>0.6086956262588501</c:v>
                </c:pt>
                <c:pt idx="52">
                  <c:v>0.69999998807907104</c:v>
                </c:pt>
                <c:pt idx="53">
                  <c:v>1</c:v>
                </c:pt>
                <c:pt idx="54">
                  <c:v>0.60000002384185791</c:v>
                </c:pt>
                <c:pt idx="55">
                  <c:v>1</c:v>
                </c:pt>
                <c:pt idx="56">
                  <c:v>0.81818181276321411</c:v>
                </c:pt>
                <c:pt idx="57">
                  <c:v>0.91666668653488159</c:v>
                </c:pt>
                <c:pt idx="58">
                  <c:v>0.92307692766189575</c:v>
                </c:pt>
                <c:pt idx="59">
                  <c:v>0.8571428656578064</c:v>
                </c:pt>
                <c:pt idx="60">
                  <c:v>0.9848484992980957</c:v>
                </c:pt>
                <c:pt idx="61">
                  <c:v>0.29032257199287409</c:v>
                </c:pt>
                <c:pt idx="62">
                  <c:v>1</c:v>
                </c:pt>
                <c:pt idx="63">
                  <c:v>1</c:v>
                </c:pt>
                <c:pt idx="64">
                  <c:v>0.8095238208770752</c:v>
                </c:pt>
                <c:pt idx="65">
                  <c:v>0.96875</c:v>
                </c:pt>
                <c:pt idx="66">
                  <c:v>0.80769228935241699</c:v>
                </c:pt>
                <c:pt idx="67">
                  <c:v>0.86206895112991333</c:v>
                </c:pt>
                <c:pt idx="68">
                  <c:v>0.8461538553237915</c:v>
                </c:pt>
                <c:pt idx="69">
                  <c:v>1</c:v>
                </c:pt>
                <c:pt idx="70">
                  <c:v>1</c:v>
                </c:pt>
                <c:pt idx="71">
                  <c:v>0.97849464416503906</c:v>
                </c:pt>
                <c:pt idx="72">
                  <c:v>1</c:v>
                </c:pt>
                <c:pt idx="73">
                  <c:v>0.92682927846908569</c:v>
                </c:pt>
                <c:pt idx="74">
                  <c:v>1</c:v>
                </c:pt>
                <c:pt idx="75">
                  <c:v>0.64999997615814209</c:v>
                </c:pt>
                <c:pt idx="76">
                  <c:v>0.38461539149284357</c:v>
                </c:pt>
                <c:pt idx="77">
                  <c:v>1</c:v>
                </c:pt>
                <c:pt idx="78">
                  <c:v>0.89655172824859619</c:v>
                </c:pt>
                <c:pt idx="79">
                  <c:v>0.58333331346511841</c:v>
                </c:pt>
                <c:pt idx="80">
                  <c:v>0.98795181512832642</c:v>
                </c:pt>
                <c:pt idx="81">
                  <c:v>0.89999997615814209</c:v>
                </c:pt>
                <c:pt idx="82">
                  <c:v>0.88095235824584961</c:v>
                </c:pt>
                <c:pt idx="83">
                  <c:v>1</c:v>
                </c:pt>
                <c:pt idx="84">
                  <c:v>0.95918369293212891</c:v>
                </c:pt>
                <c:pt idx="85">
                  <c:v>0.94736844301223755</c:v>
                </c:pt>
                <c:pt idx="86">
                  <c:v>1</c:v>
                </c:pt>
                <c:pt idx="87">
                  <c:v>0.85263156890869141</c:v>
                </c:pt>
                <c:pt idx="88">
                  <c:v>1</c:v>
                </c:pt>
                <c:pt idx="89">
                  <c:v>1</c:v>
                </c:pt>
                <c:pt idx="90">
                  <c:v>0.89999997615814209</c:v>
                </c:pt>
                <c:pt idx="91">
                  <c:v>0.96296298503875732</c:v>
                </c:pt>
                <c:pt idx="92">
                  <c:v>1</c:v>
                </c:pt>
                <c:pt idx="93">
                  <c:v>0.8571428656578064</c:v>
                </c:pt>
                <c:pt idx="94">
                  <c:v>1</c:v>
                </c:pt>
                <c:pt idx="95">
                  <c:v>1</c:v>
                </c:pt>
                <c:pt idx="96">
                  <c:v>1</c:v>
                </c:pt>
                <c:pt idx="97">
                  <c:v>1</c:v>
                </c:pt>
                <c:pt idx="98">
                  <c:v>0.94117647409439087</c:v>
                </c:pt>
                <c:pt idx="99">
                  <c:v>0.85185188055038452</c:v>
                </c:pt>
                <c:pt idx="100">
                  <c:v>1</c:v>
                </c:pt>
                <c:pt idx="101">
                  <c:v>1</c:v>
                </c:pt>
                <c:pt idx="102">
                  <c:v>0.86538463830947876</c:v>
                </c:pt>
                <c:pt idx="103">
                  <c:v>0.94444441795349121</c:v>
                </c:pt>
                <c:pt idx="104">
                  <c:v>0.87272727489471436</c:v>
                </c:pt>
                <c:pt idx="105">
                  <c:v>1</c:v>
                </c:pt>
                <c:pt idx="106">
                  <c:v>0.89999997615814209</c:v>
                </c:pt>
                <c:pt idx="107">
                  <c:v>0.98076921701431274</c:v>
                </c:pt>
                <c:pt idx="108">
                  <c:v>1</c:v>
                </c:pt>
                <c:pt idx="109">
                  <c:v>0.87671232223510742</c:v>
                </c:pt>
                <c:pt idx="110">
                  <c:v>0.94999998807907104</c:v>
                </c:pt>
                <c:pt idx="111">
                  <c:v>0.80000001192092896</c:v>
                </c:pt>
                <c:pt idx="112">
                  <c:v>0.8888888955116272</c:v>
                </c:pt>
                <c:pt idx="113">
                  <c:v>1</c:v>
                </c:pt>
                <c:pt idx="114">
                  <c:v>1</c:v>
                </c:pt>
                <c:pt idx="115">
                  <c:v>0.89655172824859619</c:v>
                </c:pt>
                <c:pt idx="116">
                  <c:v>1</c:v>
                </c:pt>
                <c:pt idx="117">
                  <c:v>1</c:v>
                </c:pt>
                <c:pt idx="118">
                  <c:v>0.91666668653488159</c:v>
                </c:pt>
                <c:pt idx="119">
                  <c:v>0.92857140302658081</c:v>
                </c:pt>
                <c:pt idx="120">
                  <c:v>0.58333331346511841</c:v>
                </c:pt>
                <c:pt idx="121">
                  <c:v>1</c:v>
                </c:pt>
              </c:numCache>
            </c:numRef>
          </c:val>
          <c:extLst>
            <c:ext xmlns:c16="http://schemas.microsoft.com/office/drawing/2014/chart" uri="{C3380CC4-5D6E-409C-BE32-E72D297353CC}">
              <c16:uniqueId val="{00000000-4A59-4B9C-B679-6F4EB6A6ED53}"/>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'Data quality dashboard'!$D$9</c:f>
              <c:strCache>
                <c:ptCount val="1"/>
                <c:pt idx="0">
                  <c:v>Airedale NHS Foundation Trust</c:v>
                </c:pt>
              </c:strCache>
            </c:strRef>
          </c:tx>
          <c:spPr>
            <a:ln w="28575" cap="rnd">
              <a:solidFill>
                <a:schemeClr val="accent2"/>
              </a:solidFill>
              <a:round/>
            </a:ln>
            <a:effectLst/>
          </c:spPr>
          <c:marker>
            <c:symbol val="none"/>
          </c:marker>
          <c:xVal>
            <c:numRef>
              <c:f>Links!$C$29:$C$30</c:f>
              <c:numCache>
                <c:formatCode>0</c:formatCode>
                <c:ptCount val="2"/>
                <c:pt idx="0">
                  <c:v>1</c:v>
                </c:pt>
                <c:pt idx="1">
                  <c:v>1</c:v>
                </c:pt>
              </c:numCache>
            </c:numRef>
          </c:xVal>
          <c:yVal>
            <c:numRef>
              <c:f>Links!$D$29:$D$30</c:f>
              <c:numCache>
                <c:formatCode>General</c:formatCode>
                <c:ptCount val="2"/>
                <c:pt idx="0" formatCode="0.00">
                  <c:v>1</c:v>
                </c:pt>
                <c:pt idx="1">
                  <c:v>0</c:v>
                </c:pt>
              </c:numCache>
            </c:numRef>
          </c:yVal>
          <c:smooth val="0"/>
          <c:extLst>
            <c:ext xmlns:c16="http://schemas.microsoft.com/office/drawing/2014/chart" uri="{C3380CC4-5D6E-409C-BE32-E72D297353CC}">
              <c16:uniqueId val="{00000001-4A59-4B9C-B679-6F4EB6A6ED53}"/>
            </c:ext>
          </c:extLst>
        </c:ser>
        <c:ser>
          <c:idx val="1"/>
          <c:order val="2"/>
          <c:tx>
            <c:v>Target</c:v>
          </c:tx>
          <c:spPr>
            <a:ln w="28575" cap="rnd">
              <a:solidFill>
                <a:schemeClr val="tx1"/>
              </a:solidFill>
              <a:prstDash val="sysDash"/>
              <a:round/>
            </a:ln>
            <a:effectLst/>
          </c:spPr>
          <c:marker>
            <c:symbol val="none"/>
          </c:marker>
          <c:xVal>
            <c:numRef>
              <c:f>Links!$E$29:$E$30</c:f>
              <c:numCache>
                <c:formatCode>General</c:formatCode>
                <c:ptCount val="2"/>
                <c:pt idx="0">
                  <c:v>0</c:v>
                </c:pt>
                <c:pt idx="1">
                  <c:v>122</c:v>
                </c:pt>
              </c:numCache>
            </c:numRef>
          </c:xVal>
          <c:yVal>
            <c:numRef>
              <c:f>Links!$F$29:$F$30</c:f>
              <c:numCache>
                <c:formatCode>General</c:formatCode>
                <c:ptCount val="2"/>
                <c:pt idx="0">
                  <c:v>0.9</c:v>
                </c:pt>
                <c:pt idx="1">
                  <c:v>0.9</c:v>
                </c:pt>
              </c:numCache>
            </c:numRef>
          </c:yVal>
          <c:smooth val="0"/>
          <c:extLst>
            <c:ext xmlns:c16="http://schemas.microsoft.com/office/drawing/2014/chart" uri="{C3380CC4-5D6E-409C-BE32-E72D297353CC}">
              <c16:uniqueId val="{00000003-6FA1-4DEC-B891-E8125933D1C8}"/>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GB">
                    <a:solidFill>
                      <a:sysClr val="windowText" lastClr="000000"/>
                    </a:solidFill>
                  </a:rPr>
                  <a:t>NHS trust 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crossAx val="1717320176"/>
        <c:crosses val="autoZero"/>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Links!$B$22</c:f>
              <c:strCache>
                <c:ptCount val="1"/>
                <c:pt idx="0">
                  <c:v>Data completeness for Morphology (for diagnoses with histology or cytology as basis of diagnosis)</c:v>
                </c:pt>
              </c:strCache>
            </c:strRef>
          </c:tx>
          <c:layout>
            <c:manualLayout>
              <c:xMode val="edge"/>
              <c:yMode val="edge"/>
              <c:x val="1.6863981854147867E-2"/>
              <c:y val="0.2800166191735193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87825856"/>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natcan.org.uk/audits/pancreatic/reports/npaca-scoping-document/" TargetMode="External"/><Relationship Id="rId1" Type="http://schemas.openxmlformats.org/officeDocument/2006/relationships/chart" Target="../charts/chart1.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natcan.org.uk/audits/pancreatic/reports/npaca-scoping-document/" TargetMode="External"/></Relationships>
</file>

<file path=xl/drawings/drawing1.xml><?xml version="1.0" encoding="utf-8"?>
<xdr:wsDr xmlns:xdr="http://schemas.openxmlformats.org/drawingml/2006/spreadsheetDrawing" xmlns:a="http://schemas.openxmlformats.org/drawingml/2006/main">
  <xdr:twoCellAnchor>
    <xdr:from>
      <xdr:col>1</xdr:col>
      <xdr:colOff>83819</xdr:colOff>
      <xdr:row>0</xdr:row>
      <xdr:rowOff>173355</xdr:rowOff>
    </xdr:from>
    <xdr:to>
      <xdr:col>3</xdr:col>
      <xdr:colOff>584055</xdr:colOff>
      <xdr:row>5</xdr:row>
      <xdr:rowOff>153670</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695324" y="169545"/>
          <a:ext cx="8579341" cy="889000"/>
          <a:chOff x="782954" y="133350"/>
          <a:chExt cx="8588866" cy="885190"/>
        </a:xfrm>
      </xdr:grpSpPr>
      <xdr:sp macro="" textlink="">
        <xdr:nvSpPr>
          <xdr:cNvPr id="7" name="TextBox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PancreaticCancerAudit@rcseng.ac.uk</a:t>
            </a:r>
          </a:p>
          <a:p>
            <a:pPr algn="l"/>
            <a:r>
              <a:rPr lang="en-GB" sz="1100">
                <a:solidFill>
                  <a:sysClr val="windowText" lastClr="000000"/>
                </a:solidFill>
              </a:rPr>
              <a:t>https://www.natcan.org.uk/audits/pancreatic/</a:t>
            </a:r>
          </a:p>
          <a:p>
            <a:pPr algn="l"/>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9" name="Picture 8" descr="A purple and black logo&#10;&#10;Description automatically generat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1</xdr:row>
      <xdr:rowOff>1905</xdr:rowOff>
    </xdr:from>
    <xdr:to>
      <xdr:col>3</xdr:col>
      <xdr:colOff>587866</xdr:colOff>
      <xdr:row>5</xdr:row>
      <xdr:rowOff>167205</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697230" y="182880"/>
          <a:ext cx="8581246" cy="893010"/>
          <a:chOff x="782954" y="133350"/>
          <a:chExt cx="8588866" cy="885190"/>
        </a:xfrm>
      </xdr:grpSpPr>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100-000008000000}"/>
              </a:ext>
            </a:extLst>
          </xdr:cNvPr>
          <xdr:cNvSpPr txBox="1"/>
        </xdr:nvSpPr>
        <xdr:spPr>
          <a:xfrm>
            <a:off x="3464713" y="190095"/>
            <a:ext cx="2942382" cy="77360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PancreaticCancerAudit@rcseng.ac.uk</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https://www.natcan.org.uk/audits/pancreatic/</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rPr>
              <a:t>Twitter/X: @NPaCA_NATCAN</a:t>
            </a:r>
          </a:p>
        </xdr:txBody>
      </xdr:sp>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10" name="Picture 9" descr="A purple and black logo&#10;&#10;Description automatically generated">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91440</xdr:colOff>
      <xdr:row>0</xdr:row>
      <xdr:rowOff>169545</xdr:rowOff>
    </xdr:from>
    <xdr:to>
      <xdr:col>3</xdr:col>
      <xdr:colOff>341580</xdr:colOff>
      <xdr:row>5</xdr:row>
      <xdr:rowOff>153870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704850" y="173355"/>
          <a:ext cx="8571180" cy="885390"/>
          <a:chOff x="782954" y="133350"/>
          <a:chExt cx="8588866" cy="885190"/>
        </a:xfrm>
      </xdr:grpSpPr>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PancreaticCancerAudit@rcseng.ac.uk</a:t>
            </a:r>
          </a:p>
          <a:p>
            <a:r>
              <a:rPr lang="en-GB" sz="1100">
                <a:solidFill>
                  <a:sysClr val="windowText" lastClr="000000"/>
                </a:solidFill>
              </a:rPr>
              <a:t>https://www.natcan.org.uk/audits/pancreatic/</a:t>
            </a:r>
          </a:p>
          <a:p>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8" name="Picture 7" descr="A purple and black logo&#10;&#10;Description automatically generated">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48100</xdr:colOff>
      <xdr:row>22</xdr:row>
      <xdr:rowOff>59372</xdr:rowOff>
    </xdr:from>
    <xdr:to>
      <xdr:col>14</xdr:col>
      <xdr:colOff>1084217</xdr:colOff>
      <xdr:row>40</xdr:row>
      <xdr:rowOff>94115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95250</xdr:colOff>
      <xdr:row>0</xdr:row>
      <xdr:rowOff>207645</xdr:rowOff>
    </xdr:from>
    <xdr:to>
      <xdr:col>7</xdr:col>
      <xdr:colOff>1123171</xdr:colOff>
      <xdr:row>4</xdr:row>
      <xdr:rowOff>182445</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60381" y="211455"/>
          <a:ext cx="8767600" cy="865556"/>
          <a:chOff x="782954" y="133350"/>
          <a:chExt cx="8588866" cy="885190"/>
        </a:xfrm>
      </xdr:grpSpPr>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PancreaticCancerAudit@rcseng.ac.uk</a:t>
            </a:r>
          </a:p>
          <a:p>
            <a:r>
              <a:rPr lang="en-GB" sz="1100">
                <a:solidFill>
                  <a:sysClr val="windowText" lastClr="000000"/>
                </a:solidFill>
              </a:rPr>
              <a:t>https://www.natcan.org.uk/audits/pancreatic/</a:t>
            </a:r>
          </a:p>
          <a:p>
            <a:r>
              <a:rPr lang="en-GB" sz="1100" baseline="0">
                <a:solidFill>
                  <a:sysClr val="windowText" lastClr="000000"/>
                </a:solidFill>
              </a:rPr>
              <a:t>Twitter/X: </a:t>
            </a:r>
            <a:r>
              <a:rPr lang="en-GB">
                <a:solidFill>
                  <a:sysClr val="windowText" lastClr="000000"/>
                </a:solidFill>
              </a:rPr>
              <a:t>@NPaCA_NATCAN</a:t>
            </a:r>
            <a:endParaRPr lang="en-GB" sz="1100">
              <a:solidFill>
                <a:sysClr val="windowText" lastClr="000000"/>
              </a:solidFill>
            </a:endParaRPr>
          </a:p>
        </xdr:txBody>
      </xdr:sp>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11" name="Picture 10" descr="A purple and black logo&#10;&#10;Description automatically generated">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87630</xdr:colOff>
      <xdr:row>0</xdr:row>
      <xdr:rowOff>211455</xdr:rowOff>
    </xdr:from>
    <xdr:to>
      <xdr:col>9</xdr:col>
      <xdr:colOff>126856</xdr:colOff>
      <xdr:row>4</xdr:row>
      <xdr:rowOff>186255</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360381" y="207645"/>
          <a:ext cx="8589314" cy="873176"/>
          <a:chOff x="782954" y="133350"/>
          <a:chExt cx="8588866" cy="885190"/>
        </a:xfrm>
      </xdr:grpSpPr>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500-00000C000000}"/>
              </a:ext>
            </a:extLst>
          </xdr:cNvPr>
          <xdr:cNvSpPr txBox="1"/>
        </xdr:nvSpPr>
        <xdr:spPr>
          <a:xfrm>
            <a:off x="3464713" y="190095"/>
            <a:ext cx="2942382" cy="77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PancreaticCancerAudit@rcseng.ac.uk</a:t>
            </a:r>
          </a:p>
          <a:p>
            <a:r>
              <a:rPr lang="en-GB" sz="1100">
                <a:solidFill>
                  <a:sysClr val="windowText" lastClr="000000"/>
                </a:solidFill>
              </a:rPr>
              <a:t>https://www.natcan.org.uk/audits/pancreatic/</a:t>
            </a:r>
          </a:p>
          <a:p>
            <a:r>
              <a:rPr lang="en-GB" sz="1100" baseline="0">
                <a:solidFill>
                  <a:sysClr val="windowText" lastClr="000000"/>
                </a:solidFill>
              </a:rPr>
              <a:t>Twitter/X: </a:t>
            </a:r>
            <a:r>
              <a:rPr lang="en-GB">
                <a:solidFill>
                  <a:sysClr val="windowText" lastClr="000000"/>
                </a:solidFill>
              </a:rPr>
              <a:t>@NPaCA_NATCAN</a:t>
            </a:r>
          </a:p>
        </xdr:txBody>
      </xdr:sp>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77417" y="133350"/>
            <a:ext cx="2494403" cy="885190"/>
          </a:xfrm>
          <a:prstGeom prst="rect">
            <a:avLst/>
          </a:prstGeom>
        </xdr:spPr>
      </xdr:pic>
      <xdr:pic>
        <xdr:nvPicPr>
          <xdr:cNvPr id="14" name="Picture 13" descr="A purple and black logo&#10;&#10;Description automatically generated">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954" y="136108"/>
            <a:ext cx="2211438" cy="879675"/>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test%20v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la Barber" refreshedDate="44998.522515046294" createdVersion="8" refreshedVersion="8" minRefreshableVersion="3" recordCount="126" xr:uid="{00000000-000A-0000-FFFF-FFFF01000000}">
  <cacheSource type="worksheet">
    <worksheetSource ref="A1:D127" sheet="trust_data" r:id="rId2"/>
  </cacheSource>
  <cacheFields count="4">
    <cacheField name="trust_name" numFmtId="0">
      <sharedItems/>
    </cacheField>
    <cacheField name="trust_code" numFmtId="0">
      <sharedItems/>
    </cacheField>
    <cacheField name="alliance_name" numFmtId="0">
      <sharedItems count="21">
        <s v="West Yorkshire and Harrogate"/>
        <s v="Surrey and Sussex"/>
        <s v="North East London"/>
        <s v="South Yorkshire and Bassetlaw"/>
        <s v="East of England - South"/>
        <s v="Lancashire and South Cumbria"/>
        <s v="Greater Manchester"/>
        <s v="Thames Valley"/>
        <s v="East of England - North"/>
        <s v="RM Partners West London"/>
        <s v="East Midlands"/>
        <s v="Cheshire and Merseyside"/>
        <s v="Northern"/>
        <s v="Kent and Medway"/>
        <s v="Wessex"/>
        <s v="West Midlands"/>
        <s v="Somerset, Wiltshire, Avon &amp; Gloucestershire"/>
        <s v="South East London"/>
        <s v="Humber, Coast and Vale"/>
        <s v="North Central London"/>
        <s v="Peninsula"/>
      </sharedItems>
    </cacheField>
    <cacheField name="alliance_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s v="Airedale NHS Foundation Trust"/>
    <s v="RCF"/>
    <x v="0"/>
    <s v="A19"/>
  </r>
  <r>
    <s v="Ashford and St Peter's Hospitals NHS Foundation Trust"/>
    <s v="RTK"/>
    <x v="1"/>
    <s v="A14"/>
  </r>
  <r>
    <s v="Barking, Havering and Redbridge University Hospitals NHS Trust"/>
    <s v="RF4"/>
    <x v="2"/>
    <s v="A08b"/>
  </r>
  <r>
    <s v="Barnsley Hospital NHS Foundation Trust"/>
    <s v="RFF"/>
    <x v="3"/>
    <s v="A13"/>
  </r>
  <r>
    <s v="Barts Health NHS Trust"/>
    <s v="R1H"/>
    <x v="2"/>
    <s v="A08b"/>
  </r>
  <r>
    <s v="Bedfordshire Hospitals NHS Foundation Trust"/>
    <s v="RC9"/>
    <x v="4"/>
    <s v="A03b"/>
  </r>
  <r>
    <s v="Blackpool Teaching Hospitals NHS Foundation Trust"/>
    <s v="RXL"/>
    <x v="5"/>
    <s v="A07"/>
  </r>
  <r>
    <s v="Bolton NHS Foundation Trust"/>
    <s v="RMC"/>
    <x v="6"/>
    <s v="A04"/>
  </r>
  <r>
    <s v="Bradford Teaching Hospitals NHS Foundation Trust"/>
    <s v="RAE"/>
    <x v="0"/>
    <s v="A19"/>
  </r>
  <r>
    <s v="Buckinghamshire Healthcare NHS Trust"/>
    <s v="RXQ"/>
    <x v="7"/>
    <s v="A15"/>
  </r>
  <r>
    <s v="Calderdale And Huddersfield NHS Foundation Trust"/>
    <s v="RWY"/>
    <x v="0"/>
    <s v="A19"/>
  </r>
  <r>
    <s v="Cambridge University Hospitals NHS Foundation Trust"/>
    <s v="RGT"/>
    <x v="8"/>
    <s v="A03a"/>
  </r>
  <r>
    <s v="Chelsea and Westminster Hospital NHS Foundation Trust"/>
    <s v="RQM"/>
    <x v="9"/>
    <s v="A17"/>
  </r>
  <r>
    <s v="Chesterfield Royal Hospital NHS Foundation Trust"/>
    <s v="RFS"/>
    <x v="10"/>
    <s v="A02"/>
  </r>
  <r>
    <s v="Countess of Chester Hospital NHS Foundation Trust"/>
    <s v="RJR"/>
    <x v="11"/>
    <s v="A01"/>
  </r>
  <r>
    <s v="County Durham and Darlington NHS Foundation Trust"/>
    <s v="RXP"/>
    <x v="12"/>
    <s v="A09"/>
  </r>
  <r>
    <s v="Croydon Health Services NHS Trust"/>
    <s v="RJ6"/>
    <x v="9"/>
    <s v="A17"/>
  </r>
  <r>
    <s v="Dartford and Gravesham NHS Trust"/>
    <s v="RN7"/>
    <x v="13"/>
    <s v="A06"/>
  </r>
  <r>
    <s v="Doncaster and Bassetlaw Teaching Hospitals NHS Foundation Trust"/>
    <s v="RP5"/>
    <x v="3"/>
    <s v="A13"/>
  </r>
  <r>
    <s v="Dorset County Hospital NHS Foundation Trust"/>
    <s v="RBD"/>
    <x v="14"/>
    <s v="A16"/>
  </r>
  <r>
    <s v="East and North Hertfordshire NHS Trust"/>
    <s v="RWH"/>
    <x v="4"/>
    <s v="A03b"/>
  </r>
  <r>
    <s v="East Cheshire NHS Trust"/>
    <s v="RJN"/>
    <x v="11"/>
    <s v="A01"/>
  </r>
  <r>
    <s v="East Kent Hospitals University NHS Foundation Trust"/>
    <s v="RVV"/>
    <x v="13"/>
    <s v="A06"/>
  </r>
  <r>
    <s v="East Lancashire Hospitals NHS Trust"/>
    <s v="RXR"/>
    <x v="5"/>
    <s v="A07"/>
  </r>
  <r>
    <s v="East Suffolk and North Essex NHS Foundation Trust"/>
    <s v="RDE"/>
    <x v="8"/>
    <s v="A03a"/>
  </r>
  <r>
    <s v="East Sussex Healthcare NHS Trust"/>
    <s v="RXC"/>
    <x v="1"/>
    <s v="A14"/>
  </r>
  <r>
    <s v="Epsom And St Helier University Hospitals NHS Trust"/>
    <s v="RVR"/>
    <x v="9"/>
    <s v="A17"/>
  </r>
  <r>
    <s v="Frimley Health NHS Foundation Trust"/>
    <s v="RDU"/>
    <x v="1"/>
    <s v="A14"/>
  </r>
  <r>
    <s v="Gateshead Health NHS Foundation Trust"/>
    <s v="RR7"/>
    <x v="12"/>
    <s v="A09"/>
  </r>
  <r>
    <s v="George Eliot Hospital NHS Trust"/>
    <s v="RLT"/>
    <x v="15"/>
    <s v="A18"/>
  </r>
  <r>
    <s v="Gloucestershire Hospitals NHS Foundation Trust"/>
    <s v="RTE"/>
    <x v="16"/>
    <s v="A11"/>
  </r>
  <r>
    <s v="Great Western Hospitals NHS Foundation Trust"/>
    <s v="RN3"/>
    <x v="16"/>
    <s v="A11"/>
  </r>
  <r>
    <s v="Guy's and St Thomas' NHS Foundation Trust"/>
    <s v="RJ1"/>
    <x v="17"/>
    <s v="A12"/>
  </r>
  <r>
    <s v="Hampshire Hospitals NHS Foundation Trust"/>
    <s v="RN5"/>
    <x v="14"/>
    <s v="A16"/>
  </r>
  <r>
    <s v="Harrogate and District NHS Foundation Trust"/>
    <s v="RCD"/>
    <x v="18"/>
    <s v="A05"/>
  </r>
  <r>
    <s v="Homerton University Hospital NHS Foundation Trust"/>
    <s v="RQX"/>
    <x v="2"/>
    <s v="A08b"/>
  </r>
  <r>
    <s v="Hull University Teaching Hospitals NHS Trust"/>
    <s v="RWA"/>
    <x v="18"/>
    <s v="A05"/>
  </r>
  <r>
    <s v="Imperial College Healthcare NHS Trust"/>
    <s v="RYJ"/>
    <x v="9"/>
    <s v="A17"/>
  </r>
  <r>
    <s v="Isle of Wight NHS Trust"/>
    <s v="R1F"/>
    <x v="14"/>
    <s v="A16"/>
  </r>
  <r>
    <s v="James Paget University Hospitals NHS Foundation Trust"/>
    <s v="RGP"/>
    <x v="8"/>
    <s v="A03a"/>
  </r>
  <r>
    <s v="Kettering General Hospital NHS Foundation Trust"/>
    <s v="RNQ"/>
    <x v="10"/>
    <s v="A02"/>
  </r>
  <r>
    <s v="King's College Hospital NHS Foundation Trust"/>
    <s v="RJZ"/>
    <x v="17"/>
    <s v="A12"/>
  </r>
  <r>
    <s v="Kingston Hospital NHS Foundation Trust"/>
    <s v="RAX"/>
    <x v="9"/>
    <s v="A17"/>
  </r>
  <r>
    <s v="Lancashire Teaching Hospitals NHS Foundation Trust"/>
    <s v="RXN"/>
    <x v="5"/>
    <s v="A07"/>
  </r>
  <r>
    <s v="Leeds Teaching Hospitals NHS Trust"/>
    <s v="RR8"/>
    <x v="0"/>
    <s v="A19"/>
  </r>
  <r>
    <s v="Lewisham and Greenwich NHS Trust"/>
    <s v="RJ2"/>
    <x v="17"/>
    <s v="A12"/>
  </r>
  <r>
    <s v="Liverpool Heart and Chest Hospital NHS Foundation Trust"/>
    <s v="RBQ"/>
    <x v="11"/>
    <s v="A01"/>
  </r>
  <r>
    <s v="Liverpool University Hospitals NHS Foundation Trust"/>
    <s v="REM"/>
    <x v="11"/>
    <s v="A01"/>
  </r>
  <r>
    <s v="London North West Healthcare NHS Trust"/>
    <s v="R1K"/>
    <x v="9"/>
    <s v="A17"/>
  </r>
  <r>
    <s v="Maidstone and Tunbridge Wells NHS Trust"/>
    <s v="RWF"/>
    <x v="13"/>
    <s v="A06"/>
  </r>
  <r>
    <s v="Manchester University NHS Foundation Trust"/>
    <s v="R0A"/>
    <x v="6"/>
    <s v="A04"/>
  </r>
  <r>
    <s v="Medway NHS Foundation Trust"/>
    <s v="RPA"/>
    <x v="13"/>
    <s v="A06"/>
  </r>
  <r>
    <s v="Mid and South Essex NHS Foundation Trust"/>
    <s v="RAJ"/>
    <x v="4"/>
    <s v="A03b"/>
  </r>
  <r>
    <s v="Mid Cheshire Hospitals NHS Foundation Trust"/>
    <s v="RBT"/>
    <x v="11"/>
    <s v="A01"/>
  </r>
  <r>
    <s v="Mid Yorkshire Hospitals NHS Trust"/>
    <s v="RXF"/>
    <x v="0"/>
    <s v="A19"/>
  </r>
  <r>
    <s v="Milton Keynes University Hospital NHS Foundation Trust"/>
    <s v="RD8"/>
    <x v="4"/>
    <s v="A03b"/>
  </r>
  <r>
    <s v="Norfolk and Norwich University Hospitals NHS Foundation Trust"/>
    <s v="RM1"/>
    <x v="8"/>
    <s v="A03a"/>
  </r>
  <r>
    <s v="North Bristol NHS Trust"/>
    <s v="RVJ"/>
    <x v="16"/>
    <s v="A11"/>
  </r>
  <r>
    <s v="North Cumbria Integrated Care NHS Foundation Trust"/>
    <s v="RNN"/>
    <x v="12"/>
    <s v="A09"/>
  </r>
  <r>
    <s v="North Middlesex University Hospital NHS Trust"/>
    <s v="RAP"/>
    <x v="19"/>
    <s v="A08a"/>
  </r>
  <r>
    <s v="North Tees And Hartlepool NHS Foundation Trust"/>
    <s v="RVW"/>
    <x v="12"/>
    <s v="A09"/>
  </r>
  <r>
    <s v="North West Anglia NHS Foundation Trust"/>
    <s v="RGN"/>
    <x v="8"/>
    <s v="A03a"/>
  </r>
  <r>
    <s v="Northampton General Hospital NHS Trust"/>
    <s v="RNS"/>
    <x v="10"/>
    <s v="A02"/>
  </r>
  <r>
    <s v="Northern Lincolnshire and Goole NHS Foundation Trust"/>
    <s v="RJL"/>
    <x v="18"/>
    <s v="A05"/>
  </r>
  <r>
    <s v="Northumbria Healthcare NHS Foundation Trust"/>
    <s v="RTF"/>
    <x v="12"/>
    <s v="A09"/>
  </r>
  <r>
    <s v="Nottingham University Hospitals NHS Trust"/>
    <s v="RX1"/>
    <x v="10"/>
    <s v="A02"/>
  </r>
  <r>
    <s v="Oxford University Hospitals NHS Foundation Trust"/>
    <s v="RTH"/>
    <x v="7"/>
    <s v="A15"/>
  </r>
  <r>
    <s v="Papworth Hospital NHS Foundation Trust"/>
    <s v="RGM"/>
    <x v="8"/>
    <s v="A03a"/>
  </r>
  <r>
    <s v="Plymouth Hospitals NHS Trust"/>
    <s v="RK9"/>
    <x v="20"/>
    <s v="A10"/>
  </r>
  <r>
    <s v="Portsmouth Hospitals NHS Trust"/>
    <s v="RHU"/>
    <x v="14"/>
    <s v="A16"/>
  </r>
  <r>
    <s v="Royal Berkshire NHS Foundation Trust"/>
    <s v="RHW"/>
    <x v="7"/>
    <s v="A15"/>
  </r>
  <r>
    <s v="Royal Cornwall Hospitals NHS Trust"/>
    <s v="REF"/>
    <x v="20"/>
    <s v="A10"/>
  </r>
  <r>
    <s v="Royal Devon and Exeter NHS Foundation Trust"/>
    <s v="RH8"/>
    <x v="20"/>
    <s v="A10"/>
  </r>
  <r>
    <s v="Royal Free London NHS Foundation Trust"/>
    <s v="RAL"/>
    <x v="19"/>
    <s v="A08a"/>
  </r>
  <r>
    <s v="Royal Surrey County Hospital NHS Foundation Trust"/>
    <s v="RA2"/>
    <x v="1"/>
    <s v="A14"/>
  </r>
  <r>
    <s v="Royal United Hospital Bath NHS Foundation Trust"/>
    <s v="RD1"/>
    <x v="16"/>
    <s v="A11"/>
  </r>
  <r>
    <s v="Salford Royal NHS Foundation Trust"/>
    <s v="RM3"/>
    <x v="6"/>
    <s v="A04"/>
  </r>
  <r>
    <s v="Salisbury NHS Foundation Trust"/>
    <s v="RNZ"/>
    <x v="16"/>
    <s v="A11"/>
  </r>
  <r>
    <s v="Sandwell and West Birmingham Hospitals NHS Trust"/>
    <s v="RXK"/>
    <x v="15"/>
    <s v="A18"/>
  </r>
  <r>
    <s v="Sheffield Teaching Hospitals NHS Foundation Trust"/>
    <s v="RHQ"/>
    <x v="3"/>
    <s v="A13"/>
  </r>
  <r>
    <s v="Sherwood Forest Hospitals NHS Foundation Trust"/>
    <s v="RK5"/>
    <x v="10"/>
    <s v="A02"/>
  </r>
  <r>
    <s v="Shrewsbury and Telford Hospital NHS Trust"/>
    <s v="RXW"/>
    <x v="15"/>
    <s v="A18"/>
  </r>
  <r>
    <s v="Somerset NHS Foundation Trust"/>
    <s v="RH5"/>
    <x v="16"/>
    <s v="A11"/>
  </r>
  <r>
    <s v="South Tees Hospitals NHS Foundation Trust"/>
    <s v="RTR"/>
    <x v="12"/>
    <s v="A09"/>
  </r>
  <r>
    <s v="South Tyneside and Sunderland NHS Foundation Trust"/>
    <s v="R0B"/>
    <x v="12"/>
    <s v="A09"/>
  </r>
  <r>
    <s v="South Warwickshire NHS Foundation Trust"/>
    <s v="RJC"/>
    <x v="15"/>
    <s v="A18"/>
  </r>
  <r>
    <s v="Southport and Ormskirk Hospital NHS Trust"/>
    <s v="RVY"/>
    <x v="11"/>
    <s v="A01"/>
  </r>
  <r>
    <s v="St George's University Hospitals NHS Foundation Trust"/>
    <s v="RJ7"/>
    <x v="9"/>
    <s v="A17"/>
  </r>
  <r>
    <s v="St Helens and Knowsley Hospital Services NHS Trust"/>
    <s v="RBN"/>
    <x v="11"/>
    <s v="A01"/>
  </r>
  <r>
    <s v="Stockport NHS Foundation Trust"/>
    <s v="RWJ"/>
    <x v="6"/>
    <s v="A04"/>
  </r>
  <r>
    <s v="Surrey and Sussex Healthcare NHS Trust"/>
    <s v="RTP"/>
    <x v="1"/>
    <s v="A14"/>
  </r>
  <r>
    <s v="Tameside and Glossop Integrated Care NHS Foundation Trust"/>
    <s v="RMP"/>
    <x v="6"/>
    <s v="A04"/>
  </r>
  <r>
    <s v="The Christie NHS Foundation Trust"/>
    <s v="RBV"/>
    <x v="6"/>
    <s v="A04"/>
  </r>
  <r>
    <s v="The Clatterbridge Cancer Centre NHS Foundation Trust"/>
    <s v="REN"/>
    <x v="11"/>
    <s v="A01"/>
  </r>
  <r>
    <s v="The Dudley Group NHS Foundation Trust"/>
    <s v="RNA"/>
    <x v="15"/>
    <s v="A18"/>
  </r>
  <r>
    <s v="The Hillingdon Hospitals NHS Foundation Trust"/>
    <s v="RAS"/>
    <x v="9"/>
    <s v="A17"/>
  </r>
  <r>
    <s v="The Newcastle upon Tyne Hospitals NHS Foundation Trust"/>
    <s v="RTD"/>
    <x v="12"/>
    <s v="A09"/>
  </r>
  <r>
    <s v="The Princess Alexandra Hospital NHS Trust"/>
    <s v="RQW"/>
    <x v="4"/>
    <s v="A03b"/>
  </r>
  <r>
    <s v="The Queen Elizabeth Hospital King's Lynn NHS Foundation Trust"/>
    <s v="RCX"/>
    <x v="8"/>
    <s v="A03a"/>
  </r>
  <r>
    <s v="The Rotherham NHS Foundation Trust"/>
    <s v="RFR"/>
    <x v="3"/>
    <s v="A13"/>
  </r>
  <r>
    <s v="The Royal Marsden NHS Foundation Trust"/>
    <s v="RPY"/>
    <x v="9"/>
    <s v="A17"/>
  </r>
  <r>
    <s v="The Royal Wolverhampton NHS Trust"/>
    <s v="RL4"/>
    <x v="15"/>
    <s v="A18"/>
  </r>
  <r>
    <s v="The Whittington Health NHS Trust"/>
    <s v="RKE"/>
    <x v="19"/>
    <s v="A08a"/>
  </r>
  <r>
    <s v="Torbay and South Devon NHS Foundation Trust"/>
    <s v="RA9"/>
    <x v="20"/>
    <s v="A10"/>
  </r>
  <r>
    <s v="United Lincolnshire Hospitals NHS Trust"/>
    <s v="RWD"/>
    <x v="10"/>
    <s v="A02"/>
  </r>
  <r>
    <s v="University College London Hospitals NHS Foundation Trust"/>
    <s v="RRV"/>
    <x v="19"/>
    <s v="A08a"/>
  </r>
  <r>
    <s v="University Hospital Southampton NHS Foundation Trust"/>
    <s v="RHM"/>
    <x v="14"/>
    <s v="A16"/>
  </r>
  <r>
    <s v="University Hospitals Birmingham NHS Foundation Trust"/>
    <s v="RRK"/>
    <x v="15"/>
    <s v="A18"/>
  </r>
  <r>
    <s v="University Hospitals Bristol and Weston NHS Foundation Trust"/>
    <s v="RA7"/>
    <x v="16"/>
    <s v="A11"/>
  </r>
  <r>
    <s v="University Hospitals Coventry and Warwickshire NHS Trust"/>
    <s v="RKB"/>
    <x v="15"/>
    <s v="A18"/>
  </r>
  <r>
    <s v="University Hospitals Dorset NHS Foundation Trust"/>
    <s v="R0D"/>
    <x v="14"/>
    <s v="A16"/>
  </r>
  <r>
    <s v="University Hospitals of Derby and Burton NHS Foundation Trust"/>
    <s v="RTG"/>
    <x v="10"/>
    <s v="A02"/>
  </r>
  <r>
    <s v="University Hospitals of Leicester NHS Trust"/>
    <s v="RWE"/>
    <x v="10"/>
    <s v="A02"/>
  </r>
  <r>
    <s v="University Hospitals of Morecambe Bay NHS Foundation Trust"/>
    <s v="RTX"/>
    <x v="5"/>
    <s v="A07"/>
  </r>
  <r>
    <s v="University Hospitals of North Midlands NHS Trust"/>
    <s v="RJE"/>
    <x v="15"/>
    <s v="A18"/>
  </r>
  <r>
    <s v="Walsall Healthcare NHS Trust"/>
    <s v="RBK"/>
    <x v="15"/>
    <s v="A18"/>
  </r>
  <r>
    <s v="Warrington and Halton Hospitals NHS Foundation Trust"/>
    <s v="RWW"/>
    <x v="11"/>
    <s v="A01"/>
  </r>
  <r>
    <s v="West Hertfordshire Hospitals NHS Trust"/>
    <s v="RWG"/>
    <x v="4"/>
    <s v="A03b"/>
  </r>
  <r>
    <s v="West Suffolk NHS Foundation Trust"/>
    <s v="RGR"/>
    <x v="8"/>
    <s v="A03a"/>
  </r>
  <r>
    <s v="Western Sussex Hospitals NHS Foundation Trust"/>
    <s v="RYR"/>
    <x v="1"/>
    <s v="A14"/>
  </r>
  <r>
    <s v="Wirral University Teaching Hospital NHS Foundation Trust"/>
    <s v="RBL"/>
    <x v="11"/>
    <s v="A01"/>
  </r>
  <r>
    <s v="Worcestershire Acute Hospitals NHS Trust"/>
    <s v="RWP"/>
    <x v="15"/>
    <s v="A18"/>
  </r>
  <r>
    <s v="Wrightington, Wigan and Leigh NHS Foundation Trust"/>
    <s v="RRF"/>
    <x v="6"/>
    <s v="A04"/>
  </r>
  <r>
    <s v="Wye Valley NHS Trust"/>
    <s v="RLQ"/>
    <x v="15"/>
    <s v="A18"/>
  </r>
  <r>
    <s v="Yeovil District Hospital NHS Foundation Trust"/>
    <s v="RA4"/>
    <x v="16"/>
    <s v="A11"/>
  </r>
  <r>
    <s v="York Teaching Hospital NHS Foundation Trust"/>
    <s v="RCB"/>
    <x v="18"/>
    <s v="A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ncer Alliance">
  <location ref="F62:G84" firstHeaderRow="1" firstDataRow="1" firstDataCol="1"/>
  <pivotFields count="4">
    <pivotField dataField="1" showAll="0"/>
    <pivotField showAll="0"/>
    <pivotField axis="axisRow" showAll="0">
      <items count="22">
        <item x="11"/>
        <item x="10"/>
        <item x="8"/>
        <item x="4"/>
        <item x="6"/>
        <item x="18"/>
        <item x="13"/>
        <item x="5"/>
        <item x="19"/>
        <item x="2"/>
        <item x="12"/>
        <item x="20"/>
        <item n="RM Partners" x="9"/>
        <item x="16"/>
        <item x="17"/>
        <item x="3"/>
        <item x="1"/>
        <item x="7"/>
        <item x="14"/>
        <item x="15"/>
        <item x="0"/>
        <item t="default"/>
      </items>
    </pivotField>
    <pivotField showAll="0"/>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Count of trust_name" fld="0" subtotal="count" baseField="0" baseItem="0"/>
  </dataFields>
  <formats count="10">
    <format dxfId="46">
      <pivotArea collapsedLevelsAreSubtotals="1" fieldPosition="0">
        <references count="1">
          <reference field="2" count="1">
            <x v="19"/>
          </reference>
        </references>
      </pivotArea>
    </format>
    <format dxfId="45">
      <pivotArea dataOnly="0" labelOnly="1" fieldPosition="0">
        <references count="1">
          <reference field="2" count="1">
            <x v="19"/>
          </reference>
        </references>
      </pivotArea>
    </format>
    <format dxfId="44">
      <pivotArea type="all" dataOnly="0" outline="0" fieldPosition="0"/>
    </format>
    <format dxfId="43">
      <pivotArea outline="0" collapsedLevelsAreSubtotals="1" fieldPosition="0"/>
    </format>
    <format dxfId="42">
      <pivotArea field="2" type="button" dataOnly="0" labelOnly="1" outline="0" axis="axisRow" fieldPosition="0"/>
    </format>
    <format dxfId="41">
      <pivotArea dataOnly="0" labelOnly="1" fieldPosition="0">
        <references count="1">
          <reference field="2" count="0"/>
        </references>
      </pivotArea>
    </format>
    <format dxfId="40">
      <pivotArea dataOnly="0" labelOnly="1" grandRow="1" outline="0" fieldPosition="0"/>
    </format>
    <format dxfId="39">
      <pivotArea dataOnly="0" labelOnly="1" outline="0" axis="axisValues" fieldPosition="0"/>
    </format>
    <format dxfId="38">
      <pivotArea collapsedLevelsAreSubtotals="1" fieldPosition="0">
        <references count="1">
          <reference field="2" count="0"/>
        </references>
      </pivotArea>
    </format>
    <format dxfId="37">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ndrs/data/data-sets/rcrd" TargetMode="External"/><Relationship Id="rId2" Type="http://schemas.openxmlformats.org/officeDocument/2006/relationships/hyperlink" Target="https://www.natcan.org.uk/audits/pancreatic/" TargetMode="External"/><Relationship Id="rId1" Type="http://schemas.openxmlformats.org/officeDocument/2006/relationships/hyperlink" Target="https://www.natcan.org.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natcan.org.uk/audits/pancreatic/reports/npaca-scoping-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atcan.org.uk/wp-content/uploads/2024/01/NPaCA-Key-COSD-Data-Items-V1.0-December-2023.pdf" TargetMode="External"/><Relationship Id="rId1" Type="http://schemas.openxmlformats.org/officeDocument/2006/relationships/hyperlink" Target="https://www.natcan.org.uk/faqs/faqs-for-professional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hqip.org.uk/national-programm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7:C28"/>
  <sheetViews>
    <sheetView showGridLines="0" tabSelected="1" zoomScaleNormal="100" workbookViewId="0">
      <selection activeCell="C27" sqref="C27"/>
    </sheetView>
  </sheetViews>
  <sheetFormatPr defaultRowHeight="14.4" x14ac:dyDescent="0.3"/>
  <cols>
    <col min="3" max="3" width="108.88671875" customWidth="1"/>
  </cols>
  <sheetData>
    <row r="7" spans="3:3" x14ac:dyDescent="0.3">
      <c r="C7" s="5"/>
    </row>
    <row r="8" spans="3:3" ht="43.2" x14ac:dyDescent="0.3">
      <c r="C8" s="150" t="s">
        <v>561</v>
      </c>
    </row>
    <row r="10" spans="3:3" ht="43.2" x14ac:dyDescent="0.3">
      <c r="C10" s="80" t="s">
        <v>436</v>
      </c>
    </row>
    <row r="11" spans="3:3" x14ac:dyDescent="0.3">
      <c r="C11" s="5"/>
    </row>
    <row r="12" spans="3:3" ht="101.4" customHeight="1" x14ac:dyDescent="0.3">
      <c r="C12" s="21" t="s">
        <v>576</v>
      </c>
    </row>
    <row r="13" spans="3:3" ht="14.4" customHeight="1" x14ac:dyDescent="0.3">
      <c r="C13" s="21"/>
    </row>
    <row r="14" spans="3:3" ht="61.8" customHeight="1" x14ac:dyDescent="0.3">
      <c r="C14" s="153" t="s">
        <v>575</v>
      </c>
    </row>
    <row r="15" spans="3:3" x14ac:dyDescent="0.3">
      <c r="C15" s="21"/>
    </row>
    <row r="16" spans="3:3" ht="88.2" customHeight="1" x14ac:dyDescent="0.3">
      <c r="C16" s="156" t="s">
        <v>570</v>
      </c>
    </row>
    <row r="17" spans="2:3" x14ac:dyDescent="0.3">
      <c r="C17" s="21"/>
    </row>
    <row r="18" spans="2:3" x14ac:dyDescent="0.3">
      <c r="C18" s="161" t="s">
        <v>571</v>
      </c>
    </row>
    <row r="19" spans="2:3" ht="173.4" customHeight="1" x14ac:dyDescent="0.3">
      <c r="C19" s="161"/>
    </row>
    <row r="21" spans="2:3" x14ac:dyDescent="0.3">
      <c r="B21" s="79"/>
      <c r="C21" s="21" t="s">
        <v>492</v>
      </c>
    </row>
    <row r="22" spans="2:3" x14ac:dyDescent="0.3">
      <c r="C22" s="90"/>
    </row>
    <row r="23" spans="2:3" x14ac:dyDescent="0.3">
      <c r="B23" s="1" t="s">
        <v>490</v>
      </c>
      <c r="C23" s="5"/>
    </row>
    <row r="24" spans="2:3" x14ac:dyDescent="0.3">
      <c r="C24" s="154" t="s">
        <v>491</v>
      </c>
    </row>
    <row r="25" spans="2:3" x14ac:dyDescent="0.3">
      <c r="C25" s="150" t="s">
        <v>567</v>
      </c>
    </row>
    <row r="26" spans="2:3" x14ac:dyDescent="0.3">
      <c r="C26" s="150" t="s">
        <v>566</v>
      </c>
    </row>
    <row r="27" spans="2:3" x14ac:dyDescent="0.3">
      <c r="C27" s="150" t="s">
        <v>568</v>
      </c>
    </row>
    <row r="28" spans="2:3" x14ac:dyDescent="0.3">
      <c r="C28" s="155"/>
    </row>
  </sheetData>
  <mergeCells count="1">
    <mergeCell ref="C18:C19"/>
  </mergeCells>
  <hyperlinks>
    <hyperlink ref="C10" r:id="rId1" display="[Audit name] is part of the National Cancer Audit Collaborating Centre (NATCAN), a national centre of excellence launched on 1st October 2022 to strengthen NHS cancer services by looking at treatments and patient outcomes in multiple cancer types across the country." xr:uid="{00000000-0004-0000-0000-000000000000}"/>
    <hyperlink ref="C24" location="Explanations!A1" display="Explanations" xr:uid="{00000000-0004-0000-0000-000001000000}"/>
    <hyperlink ref="C8" r:id="rId2" display="The purpose of the National Pancreatic Cancer Audit (NPaCA) is to evaluate the patterns of care and outcomes for people with pancreatic cancer in England and Wales, and to support services to improve the quality of care. More details of the audit scope can be found on our webpage." xr:uid="{00000000-0004-0000-0000-000002000000}"/>
    <hyperlink ref="C18:C19" r:id="rId3" display="For this quarterly report, the NPaCA utilised data from the Rapid Cancer Registration Dataset (RCRD). This dataset is compiled mainly from COSD records, and is made available more quickly than the complete cancer registration dataset. However, the speed of production means that the range of data items is limited and several standard data items in the complete registration dataset are unavailable. It also does not have complete coverage of all patients diagnosed with pancreatic cancer in England during the reporting period. For more information regarding the RCRD, including the data dictionary, visit the RCRD webpage maintained by NHS England. The dataset was received by NATCAN in February 2024 and contained patient data submitted to NDRS by English NHS trusts for people diagnosed between 1st January 2018 and 31st October 2023. The period of 1st October 2022 to 30th September 2023 was selected for reporting data quality as it covers the most recent complete four quarters of data (Q4 2022 to Q3 2023). Results are reported over this annual time period, rather than quarterly, to avoid reporting based on small numbers on a quarterly basis at the trust level. The period of 1st October 2021 to 30th September 2023 was selected for the reporting of patient characteristics to avoid reporting based on small numbers at the trust level, particularly for categorical variables with multiple subgroup options." xr:uid="{00000000-0004-0000-0000-000003000000}"/>
    <hyperlink ref="C26" location="'Data quality dashboard'!A1" display="Data quality dashboard" xr:uid="{3312A4F3-0853-4628-8EA8-A07A039D55FF}"/>
    <hyperlink ref="C25" location="Acknowledgements!A1" display="Acknowledgements" xr:uid="{73BD8C0E-51A6-4647-AAFB-7442458B3E9B}"/>
    <hyperlink ref="C27" location="'Patient characteristics'!A1" display="Patient characteristics" xr:uid="{C411A03F-8CD3-4DD4-A0D4-B02816ED28CE}"/>
    <hyperlink ref="C14" r:id="rId4" display="Audit cohort: The cohort was selected based on ICD-10 codes C24 (malignant neoplasm of other and unspecified parts of biliary tract) &amp; C25 (malignant neoplasm of pancreas). In future reports, a subset of C24 and C25 codes will be used to define the cohort of people included in the audit. Please refer to the NPaCA Scoping Document for more details." xr:uid="{3E544C79-59CA-46CF-8377-482C24D60FF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C47"/>
  <sheetViews>
    <sheetView workbookViewId="0">
      <selection activeCell="C10" sqref="C10"/>
    </sheetView>
  </sheetViews>
  <sheetFormatPr defaultColWidth="8.88671875" defaultRowHeight="14.4" x14ac:dyDescent="0.3"/>
  <cols>
    <col min="1" max="2" width="8.88671875" style="91"/>
    <col min="3" max="3" width="108.88671875" style="95" customWidth="1"/>
    <col min="4" max="16384" width="8.88671875" style="91"/>
  </cols>
  <sheetData>
    <row r="8" spans="3:3" ht="86.4" x14ac:dyDescent="0.3">
      <c r="C8" s="157" t="s">
        <v>572</v>
      </c>
    </row>
    <row r="9" spans="3:3" x14ac:dyDescent="0.3">
      <c r="C9" s="93"/>
    </row>
    <row r="10" spans="3:3" ht="86.4" x14ac:dyDescent="0.3">
      <c r="C10" s="157" t="s">
        <v>573</v>
      </c>
    </row>
    <row r="11" spans="3:3" x14ac:dyDescent="0.3">
      <c r="C11" s="99"/>
    </row>
    <row r="12" spans="3:3" ht="72" x14ac:dyDescent="0.3">
      <c r="C12" s="99" t="s">
        <v>564</v>
      </c>
    </row>
    <row r="13" spans="3:3" x14ac:dyDescent="0.3">
      <c r="C13" s="151"/>
    </row>
    <row r="14" spans="3:3" x14ac:dyDescent="0.3">
      <c r="C14" s="99" t="s">
        <v>562</v>
      </c>
    </row>
    <row r="15" spans="3:3" ht="28.8" x14ac:dyDescent="0.3">
      <c r="C15" s="95" t="s">
        <v>489</v>
      </c>
    </row>
    <row r="16" spans="3:3" x14ac:dyDescent="0.3">
      <c r="C16" s="98" t="s">
        <v>563</v>
      </c>
    </row>
    <row r="17" spans="2:3" x14ac:dyDescent="0.3">
      <c r="C17" s="93" t="s">
        <v>509</v>
      </c>
    </row>
    <row r="19" spans="2:3" x14ac:dyDescent="0.3">
      <c r="B19" s="94" t="s">
        <v>482</v>
      </c>
    </row>
    <row r="20" spans="2:3" ht="28.8" x14ac:dyDescent="0.3">
      <c r="C20" s="151" t="s">
        <v>574</v>
      </c>
    </row>
    <row r="22" spans="2:3" x14ac:dyDescent="0.3">
      <c r="B22" s="92"/>
      <c r="C22" s="95" t="s">
        <v>483</v>
      </c>
    </row>
    <row r="24" spans="2:3" ht="15" thickBot="1" x14ac:dyDescent="0.35">
      <c r="B24" s="96" t="s">
        <v>484</v>
      </c>
      <c r="C24" s="96" t="s">
        <v>485</v>
      </c>
    </row>
    <row r="25" spans="2:3" x14ac:dyDescent="0.3">
      <c r="B25" s="91" t="s">
        <v>500</v>
      </c>
      <c r="C25" s="91" t="s">
        <v>501</v>
      </c>
    </row>
    <row r="26" spans="2:3" x14ac:dyDescent="0.3">
      <c r="B26" s="91" t="s">
        <v>506</v>
      </c>
      <c r="C26" s="91" t="s">
        <v>505</v>
      </c>
    </row>
    <row r="27" spans="2:3" x14ac:dyDescent="0.3">
      <c r="B27" s="91" t="s">
        <v>497</v>
      </c>
      <c r="C27" s="91" t="s">
        <v>511</v>
      </c>
    </row>
    <row r="28" spans="2:3" x14ac:dyDescent="0.3">
      <c r="B28" s="91" t="s">
        <v>486</v>
      </c>
      <c r="C28" s="91" t="s">
        <v>487</v>
      </c>
    </row>
    <row r="29" spans="2:3" x14ac:dyDescent="0.3">
      <c r="B29" s="91" t="s">
        <v>495</v>
      </c>
      <c r="C29" s="91" t="s">
        <v>496</v>
      </c>
    </row>
    <row r="30" spans="2:3" x14ac:dyDescent="0.3">
      <c r="B30" s="91" t="s">
        <v>508</v>
      </c>
      <c r="C30" s="91" t="s">
        <v>507</v>
      </c>
    </row>
    <row r="31" spans="2:3" x14ac:dyDescent="0.3">
      <c r="B31" s="91" t="s">
        <v>498</v>
      </c>
      <c r="C31" s="91" t="s">
        <v>502</v>
      </c>
    </row>
    <row r="32" spans="2:3" x14ac:dyDescent="0.3">
      <c r="B32" s="91" t="s">
        <v>499</v>
      </c>
      <c r="C32" s="91" t="s">
        <v>503</v>
      </c>
    </row>
    <row r="33" spans="2:3" x14ac:dyDescent="0.3">
      <c r="B33" s="91" t="s">
        <v>493</v>
      </c>
      <c r="C33" s="91" t="s">
        <v>494</v>
      </c>
    </row>
    <row r="34" spans="2:3" ht="15" thickBot="1" x14ac:dyDescent="0.35">
      <c r="B34" s="97" t="s">
        <v>488</v>
      </c>
      <c r="C34" s="97" t="s">
        <v>504</v>
      </c>
    </row>
    <row r="37" spans="2:3" x14ac:dyDescent="0.3">
      <c r="C37" s="91"/>
    </row>
    <row r="39" spans="2:3" x14ac:dyDescent="0.3">
      <c r="C39" s="91"/>
    </row>
    <row r="41" spans="2:3" x14ac:dyDescent="0.3">
      <c r="C41" s="91"/>
    </row>
    <row r="42" spans="2:3" x14ac:dyDescent="0.3">
      <c r="C42"/>
    </row>
    <row r="47" spans="2:3" x14ac:dyDescent="0.3">
      <c r="C47" s="93"/>
    </row>
  </sheetData>
  <hyperlinks>
    <hyperlink ref="C16" r:id="rId1" display="Refer to FAQ11 for current regional NDRS contacts." xr:uid="{00000000-0004-0000-0100-000000000000}"/>
    <hyperlink ref="C17" r:id="rId2" xr:uid="{00000000-0004-0000-0100-000001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C8:C18"/>
  <sheetViews>
    <sheetView showGridLines="0" workbookViewId="0">
      <selection activeCell="C16" sqref="C16"/>
    </sheetView>
  </sheetViews>
  <sheetFormatPr defaultRowHeight="14.4" x14ac:dyDescent="0.3"/>
  <cols>
    <col min="3" max="3" width="112.5546875" customWidth="1"/>
  </cols>
  <sheetData>
    <row r="8" spans="3:3" ht="118.2" customHeight="1" x14ac:dyDescent="0.3">
      <c r="C8" s="34" t="s">
        <v>510</v>
      </c>
    </row>
    <row r="10" spans="3:3" ht="100.8" x14ac:dyDescent="0.3">
      <c r="C10" s="21" t="s">
        <v>569</v>
      </c>
    </row>
    <row r="12" spans="3:3" ht="48" customHeight="1" x14ac:dyDescent="0.3">
      <c r="C12" s="21" t="s">
        <v>305</v>
      </c>
    </row>
    <row r="13" spans="3:3" x14ac:dyDescent="0.3">
      <c r="C13" s="21"/>
    </row>
    <row r="14" spans="3:3" ht="87" customHeight="1" x14ac:dyDescent="0.3">
      <c r="C14" s="21" t="s">
        <v>481</v>
      </c>
    </row>
    <row r="16" spans="3:3" ht="145.80000000000001" customHeight="1" x14ac:dyDescent="0.3">
      <c r="C16" s="152" t="s">
        <v>565</v>
      </c>
    </row>
    <row r="18" spans="3:3" ht="43.2" x14ac:dyDescent="0.3">
      <c r="C18" s="21" t="s">
        <v>480</v>
      </c>
    </row>
  </sheetData>
  <hyperlinks>
    <hyperlink ref="C16" r:id="rId1" display="https://www.hqip.org.uk/national-programmes/"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R116"/>
  <sheetViews>
    <sheetView showGridLines="0" zoomScale="85" zoomScaleNormal="85" workbookViewId="0">
      <selection activeCell="D15" sqref="D15:G15"/>
    </sheetView>
  </sheetViews>
  <sheetFormatPr defaultRowHeight="14.4" x14ac:dyDescent="0.3"/>
  <cols>
    <col min="1" max="1" width="3.88671875" customWidth="1"/>
    <col min="2" max="2" width="3" customWidth="1"/>
    <col min="3" max="3" width="3.5546875" customWidth="1"/>
    <col min="4" max="4" width="46.88671875" customWidth="1"/>
    <col min="5" max="5" width="20.44140625" customWidth="1"/>
    <col min="6" max="6" width="19.6640625" bestFit="1" customWidth="1"/>
    <col min="7" max="7" width="19" customWidth="1"/>
    <col min="8" max="8" width="21.109375" customWidth="1"/>
    <col min="9" max="9" width="7.5546875" customWidth="1"/>
    <col min="10" max="10" width="4" customWidth="1"/>
    <col min="11" max="11" width="50.109375" customWidth="1"/>
    <col min="12" max="12" width="17.44140625" bestFit="1" customWidth="1"/>
    <col min="13" max="13" width="16.5546875" customWidth="1"/>
    <col min="14" max="14" width="3.109375" customWidth="1"/>
    <col min="15" max="15" width="23.6640625" customWidth="1"/>
    <col min="16" max="16" width="19.33203125" bestFit="1" customWidth="1"/>
    <col min="17" max="17" width="18.109375" bestFit="1" customWidth="1"/>
    <col min="18" max="18" width="19.33203125" bestFit="1" customWidth="1"/>
  </cols>
  <sheetData>
    <row r="1" spans="3:18" ht="18" customHeight="1" x14ac:dyDescent="0.3"/>
    <row r="2" spans="3:18" ht="18" customHeight="1" x14ac:dyDescent="0.3"/>
    <row r="3" spans="3:18" ht="18" customHeight="1" x14ac:dyDescent="0.35">
      <c r="J3" s="100" t="s">
        <v>263</v>
      </c>
      <c r="K3" s="101"/>
      <c r="L3" s="101"/>
      <c r="M3" s="101"/>
      <c r="N3" s="101"/>
      <c r="O3" s="101"/>
    </row>
    <row r="4" spans="3:18" ht="18" customHeight="1" x14ac:dyDescent="0.35">
      <c r="J4" s="101"/>
      <c r="K4" s="162" t="str">
        <f ca="1">selected_dq_num_xc</f>
        <v>Number of people with a new diagnosis of pancreatic cancer, with morphology recorded</v>
      </c>
      <c r="L4" s="162"/>
      <c r="M4" s="162"/>
      <c r="N4" s="162"/>
      <c r="O4" s="162"/>
    </row>
    <row r="5" spans="3:18" ht="18" customHeight="1" x14ac:dyDescent="0.35">
      <c r="J5" s="101"/>
      <c r="K5" s="162"/>
      <c r="L5" s="162"/>
      <c r="M5" s="162"/>
      <c r="N5" s="162"/>
      <c r="O5" s="162"/>
    </row>
    <row r="6" spans="3:18" ht="18" customHeight="1" x14ac:dyDescent="0.35">
      <c r="J6" s="100" t="s">
        <v>261</v>
      </c>
      <c r="K6" s="101"/>
      <c r="L6" s="101"/>
      <c r="M6" s="101"/>
      <c r="N6" s="101"/>
      <c r="O6" s="101"/>
    </row>
    <row r="7" spans="3:18" ht="18" customHeight="1" x14ac:dyDescent="0.35">
      <c r="C7" s="100" t="s">
        <v>299</v>
      </c>
      <c r="D7" s="101"/>
      <c r="E7" s="101"/>
      <c r="F7" s="101"/>
      <c r="G7" s="101"/>
      <c r="H7" s="101"/>
      <c r="I7" s="101"/>
      <c r="J7" s="101"/>
      <c r="K7" s="162" t="str">
        <f ca="1">selected_dq_denomdescr_xc</f>
        <v>Number of people with a new diagnosis of pancreatic cancer with histology or cytology reported as basis of diagnosis</v>
      </c>
      <c r="L7" s="162"/>
      <c r="M7" s="162"/>
      <c r="N7" s="162"/>
      <c r="O7" s="162"/>
    </row>
    <row r="8" spans="3:18" ht="18" customHeight="1" thickBot="1" x14ac:dyDescent="0.4">
      <c r="C8" s="101"/>
      <c r="D8" s="101"/>
      <c r="E8" s="101"/>
      <c r="F8" s="102"/>
      <c r="G8" s="101"/>
      <c r="H8" s="101"/>
      <c r="I8" s="101"/>
      <c r="J8" s="101"/>
      <c r="K8" s="162"/>
      <c r="L8" s="162"/>
      <c r="M8" s="162"/>
      <c r="N8" s="162"/>
      <c r="O8" s="162"/>
      <c r="R8" s="21"/>
    </row>
    <row r="9" spans="3:18" ht="18" customHeight="1" thickBot="1" x14ac:dyDescent="0.4">
      <c r="C9" s="101"/>
      <c r="D9" s="172" t="s">
        <v>89</v>
      </c>
      <c r="E9" s="173"/>
      <c r="F9" s="173"/>
      <c r="G9" s="174"/>
      <c r="H9" s="101"/>
      <c r="I9" s="101"/>
      <c r="J9" s="100" t="s">
        <v>310</v>
      </c>
      <c r="K9" s="101"/>
      <c r="L9" s="101"/>
      <c r="M9" s="101"/>
      <c r="N9" s="101"/>
      <c r="O9" s="101"/>
      <c r="R9" s="21"/>
    </row>
    <row r="10" spans="3:18" ht="18" customHeight="1" x14ac:dyDescent="0.35">
      <c r="C10" s="101"/>
      <c r="D10" s="101"/>
      <c r="E10" s="101"/>
      <c r="F10" s="101"/>
      <c r="G10" s="101"/>
      <c r="H10" s="101"/>
      <c r="I10" s="101"/>
      <c r="J10" s="101"/>
      <c r="K10" s="124" t="str">
        <f ca="1">selected_dq_datasource_xc</f>
        <v>Rapid Cancer Registration Data</v>
      </c>
      <c r="L10" s="125"/>
      <c r="M10" s="125"/>
      <c r="N10" s="101"/>
      <c r="O10" s="101"/>
      <c r="R10" s="21"/>
    </row>
    <row r="11" spans="3:18" ht="18" customHeight="1" x14ac:dyDescent="0.35">
      <c r="C11" s="103" t="str">
        <f ca="1">"This selected Trust is within the "&amp;selected_trust_xc_ca_name&amp;" Cancer Alliance"</f>
        <v>This selected Trust is within the West Yorkshire and Harrogate Cancer Alliance</v>
      </c>
      <c r="D11" s="101"/>
      <c r="E11" s="101"/>
      <c r="F11" s="101"/>
      <c r="G11" s="101"/>
      <c r="H11" s="101"/>
      <c r="I11" s="101"/>
      <c r="J11" s="101"/>
      <c r="K11" s="126"/>
      <c r="L11" s="126"/>
      <c r="M11" s="126"/>
      <c r="N11" s="101"/>
      <c r="O11" s="101"/>
      <c r="R11" s="21"/>
    </row>
    <row r="12" spans="3:18" ht="18" customHeight="1" x14ac:dyDescent="0.35">
      <c r="C12" s="101"/>
      <c r="D12" s="101"/>
      <c r="E12" s="101"/>
      <c r="F12" s="101"/>
      <c r="G12" s="101"/>
      <c r="H12" s="101"/>
      <c r="I12" s="101"/>
      <c r="J12" s="127" t="s">
        <v>311</v>
      </c>
      <c r="K12" s="101"/>
      <c r="L12" s="125"/>
      <c r="M12" s="125"/>
      <c r="N12" s="101"/>
      <c r="O12" s="101"/>
      <c r="R12" s="21"/>
    </row>
    <row r="13" spans="3:18" ht="18" customHeight="1" x14ac:dyDescent="0.35">
      <c r="C13" s="100" t="s">
        <v>354</v>
      </c>
      <c r="D13" s="101"/>
      <c r="E13" s="101"/>
      <c r="F13" s="102"/>
      <c r="G13" s="101"/>
      <c r="H13" s="101"/>
      <c r="I13" s="101"/>
      <c r="J13" s="101"/>
      <c r="K13" s="128" t="str">
        <f ca="1">selected_dq_datavar_xc</f>
        <v>tumour_morphology &amp; basisofdiagnosis</v>
      </c>
      <c r="L13" s="101"/>
      <c r="M13" s="101"/>
      <c r="N13" s="101"/>
      <c r="O13" s="101"/>
      <c r="R13" s="21"/>
    </row>
    <row r="14" spans="3:18" ht="18" customHeight="1" thickBot="1" x14ac:dyDescent="0.4">
      <c r="C14" s="101"/>
      <c r="D14" s="101"/>
      <c r="E14" s="101"/>
      <c r="F14" s="102"/>
      <c r="G14" s="101"/>
      <c r="H14" s="101"/>
      <c r="I14" s="101"/>
      <c r="J14" s="101"/>
      <c r="K14" s="129"/>
      <c r="L14" s="101"/>
      <c r="M14" s="101"/>
      <c r="N14" s="101"/>
      <c r="O14" s="101"/>
    </row>
    <row r="15" spans="3:18" ht="18" customHeight="1" thickBot="1" x14ac:dyDescent="0.4">
      <c r="C15" s="101"/>
      <c r="D15" s="172" t="s">
        <v>577</v>
      </c>
      <c r="E15" s="173"/>
      <c r="F15" s="173"/>
      <c r="G15" s="174"/>
      <c r="H15" s="101"/>
      <c r="I15" s="101"/>
      <c r="J15" s="130" t="s">
        <v>355</v>
      </c>
      <c r="K15" s="101"/>
      <c r="L15" s="101"/>
      <c r="M15" s="101"/>
      <c r="N15" s="101"/>
      <c r="O15" s="101"/>
    </row>
    <row r="16" spans="3:18" ht="18" customHeight="1" x14ac:dyDescent="0.35">
      <c r="C16" s="101"/>
      <c r="D16" s="101"/>
      <c r="E16" s="101"/>
      <c r="F16" s="102"/>
      <c r="G16" s="101"/>
      <c r="H16" s="101"/>
      <c r="I16" s="101"/>
      <c r="J16" s="101"/>
      <c r="K16" s="131">
        <f ca="1">selected_dq_target_xc</f>
        <v>0.9</v>
      </c>
      <c r="L16" s="101"/>
      <c r="M16" s="101"/>
      <c r="N16" s="101"/>
      <c r="O16" s="101"/>
    </row>
    <row r="17" spans="3:15" ht="18" customHeight="1" x14ac:dyDescent="0.35">
      <c r="C17" s="168" t="s">
        <v>353</v>
      </c>
      <c r="D17" s="168"/>
      <c r="E17" s="168"/>
      <c r="F17" s="168"/>
      <c r="G17" s="168"/>
      <c r="H17" s="101"/>
      <c r="I17" s="101"/>
      <c r="J17" s="101"/>
      <c r="K17" s="101"/>
      <c r="L17" s="101"/>
      <c r="M17" s="101"/>
      <c r="N17" s="101"/>
      <c r="O17" s="101"/>
    </row>
    <row r="18" spans="3:15" ht="18" customHeight="1" x14ac:dyDescent="0.35">
      <c r="C18" s="168"/>
      <c r="D18" s="168"/>
      <c r="E18" s="168"/>
      <c r="F18" s="168"/>
      <c r="G18" s="168"/>
      <c r="H18" s="101"/>
      <c r="I18" s="101"/>
      <c r="J18" s="100" t="s">
        <v>335</v>
      </c>
      <c r="K18" s="101"/>
      <c r="L18" s="101"/>
      <c r="M18" s="101"/>
      <c r="N18" s="101"/>
      <c r="O18" s="101"/>
    </row>
    <row r="19" spans="3:15" ht="18" customHeight="1" x14ac:dyDescent="0.35">
      <c r="C19" s="101"/>
      <c r="D19" s="101"/>
      <c r="E19" s="101"/>
      <c r="F19" s="102"/>
      <c r="G19" s="101"/>
      <c r="H19" s="101"/>
      <c r="I19" s="101"/>
      <c r="J19" s="101"/>
      <c r="K19" s="128" t="str">
        <f ca="1">selected_dq_time_xc</f>
        <v>October 2022 to September 2023</v>
      </c>
      <c r="L19" s="101"/>
      <c r="M19" s="101"/>
      <c r="N19" s="101"/>
      <c r="O19" s="101"/>
    </row>
    <row r="20" spans="3:15" ht="18" customHeight="1" x14ac:dyDescent="0.35">
      <c r="C20" s="101"/>
      <c r="D20" s="101"/>
      <c r="E20" s="101"/>
      <c r="F20" s="102"/>
      <c r="G20" s="101"/>
      <c r="H20" s="101"/>
      <c r="I20" s="101"/>
      <c r="J20" s="101"/>
      <c r="K20" s="101"/>
      <c r="L20" s="101"/>
      <c r="M20" s="101"/>
      <c r="N20" s="101"/>
      <c r="O20" s="101"/>
    </row>
    <row r="21" spans="3:15" ht="18" customHeight="1" x14ac:dyDescent="0.35">
      <c r="C21" s="167" t="str">
        <f>"Table 1: "&amp;selected_dq_descr_xc&amp;" between "&amp;start_date_england&amp;" and "&amp;end_date_england</f>
        <v>Table 1: Data completeness for Morphology (for diagnoses with histology or cytology as basis of diagnosis) between October 2022 and September 2023</v>
      </c>
      <c r="D21" s="167"/>
      <c r="E21" s="167"/>
      <c r="F21" s="167"/>
      <c r="G21" s="167"/>
      <c r="H21" s="167"/>
      <c r="I21" s="101"/>
      <c r="J21" s="167" t="str">
        <f>"Figure 1: "&amp;D15&amp;" between "&amp;start_date_england&amp;" and "&amp;end_date_england</f>
        <v>Figure 1: Data completeness for Morphology (for diagnoses with histology or cytology as basis of diagnosis) between October 2022 and September 2023</v>
      </c>
      <c r="K21" s="167"/>
      <c r="L21" s="167"/>
      <c r="M21" s="167"/>
      <c r="N21" s="167"/>
      <c r="O21" s="167"/>
    </row>
    <row r="22" spans="3:15" ht="18" customHeight="1" x14ac:dyDescent="0.35">
      <c r="C22" s="167"/>
      <c r="D22" s="167"/>
      <c r="E22" s="167"/>
      <c r="F22" s="167"/>
      <c r="G22" s="167"/>
      <c r="H22" s="167"/>
      <c r="I22" s="101"/>
      <c r="J22" s="167"/>
      <c r="K22" s="167"/>
      <c r="L22" s="167"/>
      <c r="M22" s="167"/>
      <c r="N22" s="167"/>
      <c r="O22" s="167"/>
    </row>
    <row r="23" spans="3:15" ht="18" customHeight="1" x14ac:dyDescent="0.35">
      <c r="C23" s="101"/>
      <c r="D23" s="104"/>
      <c r="E23" s="105"/>
      <c r="F23" s="163" t="s">
        <v>269</v>
      </c>
      <c r="G23" s="177" t="s">
        <v>357</v>
      </c>
      <c r="H23" s="169" t="str">
        <f>"Rank (nationally, "&amp;n_trusts&amp;" trusts/"&amp;n_ca&amp;" cancer alliances)"</f>
        <v>Rank (nationally, 122 trusts/21 cancer alliances)</v>
      </c>
      <c r="I23" s="101"/>
    </row>
    <row r="24" spans="3:15" ht="18" customHeight="1" x14ac:dyDescent="0.35">
      <c r="C24" s="101"/>
      <c r="D24" s="106"/>
      <c r="E24" s="101"/>
      <c r="F24" s="176"/>
      <c r="G24" s="167"/>
      <c r="H24" s="171"/>
      <c r="I24" s="101"/>
    </row>
    <row r="25" spans="3:15" ht="18" customHeight="1" x14ac:dyDescent="0.35">
      <c r="C25" s="101"/>
      <c r="D25" s="107"/>
      <c r="E25" s="108"/>
      <c r="F25" s="164"/>
      <c r="G25" s="118" t="str">
        <f ca="1">IF(K16="N/A","","Target (%): "&amp;$K$16*100)</f>
        <v>Target (%): 90</v>
      </c>
      <c r="H25" s="170"/>
      <c r="I25" s="101"/>
    </row>
    <row r="26" spans="3:15" ht="18" customHeight="1" x14ac:dyDescent="0.35">
      <c r="C26" s="101"/>
      <c r="D26" s="110" t="str">
        <f>selected_trust_xc</f>
        <v>Airedale NHS Foundation Trust</v>
      </c>
      <c r="E26" s="101"/>
      <c r="F26" s="111">
        <f ca="1">INDEX(INDIRECT(trust_dq_table),MATCH(selected_trust_xc,INDIRECT(trust_dq_rows),0),MATCH(selected_dq_denom_xc,INDIRECT(trust_dq_cols),0))</f>
        <v>11</v>
      </c>
      <c r="G26" s="112">
        <f ca="1">INDEX(INDIRECT(trust_dq_table),MATCH(selected_trust_xc,INDIRECT(trust_dq_rows),0),MATCH(selected_dq_name_xc,INDIRECT(trust_dq_cols),0))</f>
        <v>1</v>
      </c>
      <c r="H26" s="113">
        <f ca="1">INDEX(INDIRECT(trust_dq_table),MATCH(selected_trust_xc,INDIRECT(trust_dq_rows),0),MATCH(trust_data_quality!$Q$1,INDIRECT(trust_dq_cols),0))</f>
        <v>1</v>
      </c>
      <c r="I26" s="101"/>
    </row>
    <row r="27" spans="3:15" ht="18" customHeight="1" x14ac:dyDescent="0.35">
      <c r="C27" s="101"/>
      <c r="D27" s="110" t="str">
        <f ca="1">selected_trust_xc_ca_name&amp;" Cancer Alliance"</f>
        <v>West Yorkshire and Harrogate Cancer Alliance</v>
      </c>
      <c r="E27" s="101"/>
      <c r="F27" s="111">
        <f ca="1">INDEX(INDIRECT(alliance_dq_table),MATCH(selected_trust_xc_ca_name,INDIRECT(alliance_dq_rows),0),MATCH(selected_dq_denom_xc,INDIRECT(alliance_dq_cols),0))</f>
        <v>199</v>
      </c>
      <c r="G27" s="112">
        <f ca="1">INDEX(INDIRECT(alliance_dq_table),MATCH(selected_trust_xc_ca_name,INDIRECT(alliance_dq_rows),0),MATCH(selected_dq_name_xc,INDIRECT(alliance_dq_cols),0))</f>
        <v>0.97487437725067139</v>
      </c>
      <c r="H27" s="113">
        <f ca="1">INDEX(INDIRECT(alliance_dq_table),MATCH(selected_trust_xc_ca_name,INDIRECT(alliance_dq_rows),0),MATCH(alliance_data_quality!$O$1,INDIRECT(alliance_dq_cols),0))</f>
        <v>6</v>
      </c>
      <c r="I27" s="101"/>
    </row>
    <row r="28" spans="3:15" ht="18" customHeight="1" x14ac:dyDescent="0.35">
      <c r="C28" s="101"/>
      <c r="D28" s="114" t="s">
        <v>265</v>
      </c>
      <c r="E28" s="108"/>
      <c r="F28" s="115">
        <f ca="1">INDEX(table_national_dq,2,MATCH(selected_dq_denom_xc,INDIRECT(national_dq_cols),0))</f>
        <v>3409</v>
      </c>
      <c r="G28" s="116">
        <f ca="1">INDEX(table_national_dq,2,MATCH(selected_dq_name_xc,INDIRECT(national_dq_cols),0))</f>
        <v>0.89615720510482788</v>
      </c>
      <c r="H28" s="117" t="s">
        <v>425</v>
      </c>
      <c r="I28" s="101"/>
    </row>
    <row r="29" spans="3:15" ht="18" customHeight="1" x14ac:dyDescent="0.35">
      <c r="C29" s="101"/>
      <c r="D29" s="101" t="s">
        <v>550</v>
      </c>
      <c r="E29" s="101"/>
      <c r="F29" s="101"/>
      <c r="G29" s="101"/>
      <c r="H29" s="101"/>
      <c r="I29" s="101"/>
    </row>
    <row r="30" spans="3:15" ht="18" customHeight="1" x14ac:dyDescent="0.35">
      <c r="C30" s="101"/>
      <c r="D30" s="101"/>
      <c r="E30" s="101"/>
      <c r="F30" s="101"/>
      <c r="G30" s="101"/>
      <c r="H30" s="101"/>
      <c r="I30" s="101"/>
    </row>
    <row r="31" spans="3:15" ht="18" customHeight="1" x14ac:dyDescent="0.35">
      <c r="C31" s="175" t="str">
        <f ca="1">"Table 2: "&amp;selected_dq_descr_xc&amp;" at NHS Trusts within the "&amp;selected_trust_xc_ca_name&amp;" Cancer Alliance"&amp;" between "&amp;start_date_england&amp;" and "&amp;end_date_england</f>
        <v>Table 2: Data completeness for Morphology (for diagnoses with histology or cytology as basis of diagnosis) at NHS Trusts within the West Yorkshire and Harrogate Cancer Alliance between October 2022 and September 2023</v>
      </c>
      <c r="D31" s="175"/>
      <c r="E31" s="175"/>
      <c r="F31" s="175"/>
      <c r="G31" s="175"/>
      <c r="H31" s="175"/>
      <c r="I31" s="101"/>
    </row>
    <row r="32" spans="3:15" ht="18" customHeight="1" x14ac:dyDescent="0.35">
      <c r="C32" s="175"/>
      <c r="D32" s="175"/>
      <c r="E32" s="175"/>
      <c r="F32" s="175"/>
      <c r="G32" s="175"/>
      <c r="H32" s="175"/>
      <c r="I32" s="101"/>
    </row>
    <row r="33" spans="3:9" ht="18" customHeight="1" x14ac:dyDescent="0.35">
      <c r="C33" s="101"/>
      <c r="D33" s="100"/>
      <c r="E33" s="101"/>
      <c r="F33" s="101"/>
      <c r="G33" s="101"/>
      <c r="H33" s="101"/>
      <c r="I33" s="101"/>
    </row>
    <row r="34" spans="3:9" ht="36" customHeight="1" x14ac:dyDescent="0.35">
      <c r="C34" s="101"/>
      <c r="D34" s="165" t="s">
        <v>256</v>
      </c>
      <c r="E34" s="105"/>
      <c r="F34" s="163" t="s">
        <v>269</v>
      </c>
      <c r="G34" s="132" t="s">
        <v>357</v>
      </c>
      <c r="H34" s="169" t="str">
        <f>"Rank (nationally, "&amp;n_trusts&amp;" trusts)"</f>
        <v>Rank (nationally, 122 trusts)</v>
      </c>
      <c r="I34" s="101"/>
    </row>
    <row r="35" spans="3:9" ht="18" hidden="1" customHeight="1" x14ac:dyDescent="0.35">
      <c r="C35" s="101"/>
      <c r="D35" s="166"/>
      <c r="E35" s="108"/>
      <c r="F35" s="164"/>
      <c r="G35" s="118" t="str">
        <f ca="1">IF(K16="N/A","","Target (%): "&amp;$K$16*100)</f>
        <v>Target (%): 90</v>
      </c>
      <c r="H35" s="170"/>
      <c r="I35" s="101"/>
    </row>
    <row r="36" spans="3:9" ht="18" customHeight="1" x14ac:dyDescent="0.35">
      <c r="C36" s="101"/>
      <c r="D36" s="119" t="str" cm="1">
        <f t="array" aca="1" ref="D36" ca="1">IF(ROWS($D$35:D35)&lt;=n_trusts_in_CA, INDEX(trust_data_quality!$A$2:$A$123,_xlfn.AGGREGATE(15,3,(trust_data_quality!$C$2:$C$123=selected_trust_xc_ca_name)/(trust_data_quality!$C$2:$C$123=selected_trust_xc_ca_name)*(ROW(trust_data_quality!$C$2:$C$123)-ROW(trust_data_quality!$C$1)),ROWS($D$35:D35))),"")</f>
        <v>Airedale NHS Foundation Trust</v>
      </c>
      <c r="E36" s="101"/>
      <c r="F36" s="111" cm="1">
        <f t="array" aca="1" ref="F36" ca="1">_xlfn.IFS(AND(ROWS($F$35:F35)&lt;=n_trusts_in_CA,selected_dq_denom_xc="n"), INDEX(trust_data_quality!$E$2:$E$123,_xlfn.AGGREGATE(15,3,(trust_data_quality!$C$2:$C$123=selected_trust_xc_ca_name)/(trust_data_quality!$C$2:$C$123=selected_trust_xc_ca_name)*(ROW(trust_data_quality!$C$2:$C$123)-ROW(trust_data_quality!$C$1)),ROWS($F$35:F35))), AND(ROWS($F$35:F35)&lt;=n_trusts_in_CA,selected_dq_denom_xc="n2"), INDEX(trust_data_quality!$F$2:$F$123,_xlfn.AGGREGATE(15,3,(trust_data_quality!$C$2:$C$123=selected_trust_xc_ca_name)/(trust_data_quality!$C$2:$C$123=selected_trust_xc_ca_name)*(ROW(trust_data_quality!$C$2:$C$123)-ROW(trust_data_quality!$C$1)),ROWS($F$35:F35))), TRUE, "")</f>
        <v>11</v>
      </c>
      <c r="G36" s="112" cm="1">
        <f t="array" aca="1" ref="G36" ca="1">IF(ROWS($G$35:G35)&lt;=n_trusts_in_CA, INDEX(trust_data_quality!$P$2:$P$123,_xlfn.AGGREGATE(15,3,(trust_data_quality!$C$2:$C$123=selected_trust_xc_ca_name)/(trust_data_quality!$C$2:$C$123=selected_trust_xc_ca_name)*(ROW(trust_data_quality!$C$2:$C$123)-ROW(trust_data_quality!$C$1)),ROWS($G$35:G35))),"")</f>
        <v>1</v>
      </c>
      <c r="H36" s="113" cm="1">
        <f t="array" aca="1" ref="H36" ca="1">IF(ROWS($H$35:H35)&lt;=n_trusts_in_CA, INDEX(trust_data_quality!$Q$2:$Q$123,_xlfn.AGGREGATE(15,3,(trust_data_quality!$C$2:$C$123=selected_trust_xc_ca_name)/(trust_data_quality!$C$2:$C$123=selected_trust_xc_ca_name)*(ROW(trust_data_quality!$C$2:$C$123)-ROW(trust_data_quality!$C$1)),ROWS($H$35:H35))),"")</f>
        <v>1</v>
      </c>
      <c r="I36" s="120"/>
    </row>
    <row r="37" spans="3:9" ht="18" customHeight="1" x14ac:dyDescent="0.35">
      <c r="C37" s="101"/>
      <c r="D37" s="119" t="str" cm="1">
        <f t="array" aca="1" ref="D37" ca="1">IF(ROWS($D$35:D36)&lt;=n_trusts_in_CA, INDEX(trust_data_quality!$A$2:$A$123,_xlfn.AGGREGATE(15,3,(trust_data_quality!$C$2:$C$123=selected_trust_xc_ca_name)/(trust_data_quality!$C$2:$C$123=selected_trust_xc_ca_name)*(ROW(trust_data_quality!$C$2:$C$123)-ROW(trust_data_quality!$C$1)),ROWS($D$35:D36))),"")</f>
        <v>Bradford Teaching Hospitals NHS Foundation Trust</v>
      </c>
      <c r="E37" s="101"/>
      <c r="F37" s="111" cm="1">
        <f t="array" aca="1" ref="F37" ca="1">_xlfn.IFS(AND(ROWS($F$35:F36)&lt;=n_trusts_in_CA,selected_dq_denom_xc="n"), INDEX(trust_data_quality!$E$2:$E$123,_xlfn.AGGREGATE(15,3,(trust_data_quality!$C$2:$C$123=selected_trust_xc_ca_name)/(trust_data_quality!$C$2:$C$123=selected_trust_xc_ca_name)*(ROW(trust_data_quality!$C$2:$C$123)-ROW(trust_data_quality!$C$1)),ROWS($F$35:F36))), AND(ROWS($F$35:F36)&lt;=n_trusts_in_CA,selected_dq_denom_xc="n2"), INDEX(trust_data_quality!$F$2:$F$123,_xlfn.AGGREGATE(15,3,(trust_data_quality!$C$2:$C$123=selected_trust_xc_ca_name)/(trust_data_quality!$C$2:$C$123=selected_trust_xc_ca_name)*(ROW(trust_data_quality!$C$2:$C$123)-ROW(trust_data_quality!$C$1)),ROWS($F$35:F36))), TRUE, "")</f>
        <v>25</v>
      </c>
      <c r="G37" s="112" cm="1">
        <f t="array" aca="1" ref="G37" ca="1">IF(ROWS($G$35:G36)&lt;=n_trusts_in_CA, INDEX(trust_data_quality!$P$2:$P$123,_xlfn.AGGREGATE(15,3,(trust_data_quality!$C$2:$C$123=selected_trust_xc_ca_name)/(trust_data_quality!$C$2:$C$123=selected_trust_xc_ca_name)*(ROW(trust_data_quality!$C$2:$C$123)-ROW(trust_data_quality!$C$1)),ROWS($G$35:G36))),"")</f>
        <v>1</v>
      </c>
      <c r="H37" s="113" cm="1">
        <f t="array" aca="1" ref="H37" ca="1">IF(ROWS($H$35:H36)&lt;=n_trusts_in_CA, INDEX(trust_data_quality!$Q$2:$Q$123,_xlfn.AGGREGATE(15,3,(trust_data_quality!$C$2:$C$123=selected_trust_xc_ca_name)/(trust_data_quality!$C$2:$C$123=selected_trust_xc_ca_name)*(ROW(trust_data_quality!$C$2:$C$123)-ROW(trust_data_quality!$C$1)),ROWS($H$35:H36))),"")</f>
        <v>1</v>
      </c>
      <c r="I37" s="120"/>
    </row>
    <row r="38" spans="3:9" ht="18" customHeight="1" x14ac:dyDescent="0.35">
      <c r="C38" s="101"/>
      <c r="D38" s="119" t="str" cm="1">
        <f t="array" aca="1" ref="D38" ca="1">IF(ROWS($D$35:D37)&lt;=n_trusts_in_CA, INDEX(trust_data_quality!$A$2:$A$123,_xlfn.AGGREGATE(15,3,(trust_data_quality!$C$2:$C$123=selected_trust_xc_ca_name)/(trust_data_quality!$C$2:$C$123=selected_trust_xc_ca_name)*(ROW(trust_data_quality!$C$2:$C$123)-ROW(trust_data_quality!$C$1)),ROWS($D$35:D37))),"")</f>
        <v>Calderdale and Huddersfield NHS Foundation Trust</v>
      </c>
      <c r="E38" s="101"/>
      <c r="F38" s="111" cm="1">
        <f t="array" aca="1" ref="F38" ca="1">_xlfn.IFS(AND(ROWS($F$35:F37)&lt;=n_trusts_in_CA,selected_dq_denom_xc="n"), INDEX(trust_data_quality!$E$2:$E$123,_xlfn.AGGREGATE(15,3,(trust_data_quality!$C$2:$C$123=selected_trust_xc_ca_name)/(trust_data_quality!$C$2:$C$123=selected_trust_xc_ca_name)*(ROW(trust_data_quality!$C$2:$C$123)-ROW(trust_data_quality!$C$1)),ROWS($F$35:F37))), AND(ROWS($F$35:F37)&lt;=n_trusts_in_CA,selected_dq_denom_xc="n2"), INDEX(trust_data_quality!$F$2:$F$123,_xlfn.AGGREGATE(15,3,(trust_data_quality!$C$2:$C$123=selected_trust_xc_ca_name)/(trust_data_quality!$C$2:$C$123=selected_trust_xc_ca_name)*(ROW(trust_data_quality!$C$2:$C$123)-ROW(trust_data_quality!$C$1)),ROWS($F$35:F37))), TRUE, "")</f>
        <v>24</v>
      </c>
      <c r="G38" s="112" cm="1">
        <f t="array" aca="1" ref="G38" ca="1">IF(ROWS($G$35:G37)&lt;=n_trusts_in_CA, INDEX(trust_data_quality!$P$2:$P$123,_xlfn.AGGREGATE(15,3,(trust_data_quality!$C$2:$C$123=selected_trust_xc_ca_name)/(trust_data_quality!$C$2:$C$123=selected_trust_xc_ca_name)*(ROW(trust_data_quality!$C$2:$C$123)-ROW(trust_data_quality!$C$1)),ROWS($G$35:G37))),"")</f>
        <v>1</v>
      </c>
      <c r="H38" s="113" cm="1">
        <f t="array" aca="1" ref="H38" ca="1">IF(ROWS($H$35:H37)&lt;=n_trusts_in_CA, INDEX(trust_data_quality!$Q$2:$Q$123,_xlfn.AGGREGATE(15,3,(trust_data_quality!$C$2:$C$123=selected_trust_xc_ca_name)/(trust_data_quality!$C$2:$C$123=selected_trust_xc_ca_name)*(ROW(trust_data_quality!$C$2:$C$123)-ROW(trust_data_quality!$C$1)),ROWS($H$35:H37))),"")</f>
        <v>1</v>
      </c>
      <c r="I38" s="120"/>
    </row>
    <row r="39" spans="3:9" ht="18" customHeight="1" x14ac:dyDescent="0.35">
      <c r="C39" s="101"/>
      <c r="D39" s="119" t="str" cm="1">
        <f t="array" aca="1" ref="D39" ca="1">IF(ROWS($D$35:D38)&lt;=n_trusts_in_CA, INDEX(trust_data_quality!$A$2:$A$123,_xlfn.AGGREGATE(15,3,(trust_data_quality!$C$2:$C$123=selected_trust_xc_ca_name)/(trust_data_quality!$C$2:$C$123=selected_trust_xc_ca_name)*(ROW(trust_data_quality!$C$2:$C$123)-ROW(trust_data_quality!$C$1)),ROWS($D$35:D38))),"")</f>
        <v>Harrogate and District NHS Foundation Trust</v>
      </c>
      <c r="E39" s="101"/>
      <c r="F39" s="111" cm="1">
        <f t="array" aca="1" ref="F39" ca="1">_xlfn.IFS(AND(ROWS($F$35:F38)&lt;=n_trusts_in_CA,selected_dq_denom_xc="n"), INDEX(trust_data_quality!$E$2:$E$123,_xlfn.AGGREGATE(15,3,(trust_data_quality!$C$2:$C$123=selected_trust_xc_ca_name)/(trust_data_quality!$C$2:$C$123=selected_trust_xc_ca_name)*(ROW(trust_data_quality!$C$2:$C$123)-ROW(trust_data_quality!$C$1)),ROWS($F$35:F38))), AND(ROWS($F$35:F38)&lt;=n_trusts_in_CA,selected_dq_denom_xc="n2"), INDEX(trust_data_quality!$F$2:$F$123,_xlfn.AGGREGATE(15,3,(trust_data_quality!$C$2:$C$123=selected_trust_xc_ca_name)/(trust_data_quality!$C$2:$C$123=selected_trust_xc_ca_name)*(ROW(trust_data_quality!$C$2:$C$123)-ROW(trust_data_quality!$C$1)),ROWS($F$35:F38))), TRUE, "")</f>
        <v>16</v>
      </c>
      <c r="G39" s="112" cm="1">
        <f t="array" aca="1" ref="G39" ca="1">IF(ROWS($G$35:G38)&lt;=n_trusts_in_CA, INDEX(trust_data_quality!$P$2:$P$123,_xlfn.AGGREGATE(15,3,(trust_data_quality!$C$2:$C$123=selected_trust_xc_ca_name)/(trust_data_quality!$C$2:$C$123=selected_trust_xc_ca_name)*(ROW(trust_data_quality!$C$2:$C$123)-ROW(trust_data_quality!$C$1)),ROWS($G$35:G38))),"")</f>
        <v>0.9375</v>
      </c>
      <c r="H39" s="113" cm="1">
        <f t="array" aca="1" ref="H39" ca="1">IF(ROWS($H$35:H38)&lt;=n_trusts_in_CA, INDEX(trust_data_quality!$Q$2:$Q$123,_xlfn.AGGREGATE(15,3,(trust_data_quality!$C$2:$C$123=selected_trust_xc_ca_name)/(trust_data_quality!$C$2:$C$123=selected_trust_xc_ca_name)*(ROW(trust_data_quality!$C$2:$C$123)-ROW(trust_data_quality!$C$1)),ROWS($H$35:H38))),"")</f>
        <v>64</v>
      </c>
      <c r="I39" s="101"/>
    </row>
    <row r="40" spans="3:9" ht="18" customHeight="1" x14ac:dyDescent="0.35">
      <c r="C40" s="101"/>
      <c r="D40" s="119" t="str" cm="1">
        <f t="array" aca="1" ref="D40" ca="1">IF(ROWS($D$35:D39)&lt;=n_trusts_in_CA, INDEX(trust_data_quality!$A$2:$A$123,_xlfn.AGGREGATE(15,3,(trust_data_quality!$C$2:$C$123=selected_trust_xc_ca_name)/(trust_data_quality!$C$2:$C$123=selected_trust_xc_ca_name)*(ROW(trust_data_quality!$C$2:$C$123)-ROW(trust_data_quality!$C$1)),ROWS($D$35:D39))),"")</f>
        <v>Leeds Teaching Hospitals NHS Trust</v>
      </c>
      <c r="E40" s="101"/>
      <c r="F40" s="111" cm="1">
        <f t="array" aca="1" ref="F40" ca="1">_xlfn.IFS(AND(ROWS($F$35:F39)&lt;=n_trusts_in_CA,selected_dq_denom_xc="n"), INDEX(trust_data_quality!$E$2:$E$123,_xlfn.AGGREGATE(15,3,(trust_data_quality!$C$2:$C$123=selected_trust_xc_ca_name)/(trust_data_quality!$C$2:$C$123=selected_trust_xc_ca_name)*(ROW(trust_data_quality!$C$2:$C$123)-ROW(trust_data_quality!$C$1)),ROWS($F$35:F39))), AND(ROWS($F$35:F39)&lt;=n_trusts_in_CA,selected_dq_denom_xc="n2"), INDEX(trust_data_quality!$F$2:$F$123,_xlfn.AGGREGATE(15,3,(trust_data_quality!$C$2:$C$123=selected_trust_xc_ca_name)/(trust_data_quality!$C$2:$C$123=selected_trust_xc_ca_name)*(ROW(trust_data_quality!$C$2:$C$123)-ROW(trust_data_quality!$C$1)),ROWS($F$35:F39))), TRUE, "")</f>
        <v>71</v>
      </c>
      <c r="G40" s="112" cm="1">
        <f t="array" aca="1" ref="G40" ca="1">IF(ROWS($G$35:G39)&lt;=n_trusts_in_CA, INDEX(trust_data_quality!$P$2:$P$123,_xlfn.AGGREGATE(15,3,(trust_data_quality!$C$2:$C$123=selected_trust_xc_ca_name)/(trust_data_quality!$C$2:$C$123=selected_trust_xc_ca_name)*(ROW(trust_data_quality!$C$2:$C$123)-ROW(trust_data_quality!$C$1)),ROWS($G$35:G39))),"")</f>
        <v>1</v>
      </c>
      <c r="H40" s="113" cm="1">
        <f t="array" aca="1" ref="H40" ca="1">IF(ROWS($H$35:H39)&lt;=n_trusts_in_CA, INDEX(trust_data_quality!$Q$2:$Q$123,_xlfn.AGGREGATE(15,3,(trust_data_quality!$C$2:$C$123=selected_trust_xc_ca_name)/(trust_data_quality!$C$2:$C$123=selected_trust_xc_ca_name)*(ROW(trust_data_quality!$C$2:$C$123)-ROW(trust_data_quality!$C$1)),ROWS($H$35:H39))),"")</f>
        <v>1</v>
      </c>
      <c r="I40" s="101"/>
    </row>
    <row r="41" spans="3:9" ht="18" customHeight="1" x14ac:dyDescent="0.35">
      <c r="C41" s="101"/>
      <c r="D41" s="119" t="str" cm="1">
        <f t="array" aca="1" ref="D41" ca="1">IF(ROWS($D$35:D40)&lt;=n_trusts_in_CA, INDEX(trust_data_quality!$A$2:$A$123,_xlfn.AGGREGATE(15,3,(trust_data_quality!$C$2:$C$123=selected_trust_xc_ca_name)/(trust_data_quality!$C$2:$C$123=selected_trust_xc_ca_name)*(ROW(trust_data_quality!$C$2:$C$123)-ROW(trust_data_quality!$C$1)),ROWS($D$35:D40))),"")</f>
        <v>Mid Yorkshire Teaching NHS Trust</v>
      </c>
      <c r="E41" s="101"/>
      <c r="F41" s="111" cm="1">
        <f t="array" aca="1" ref="F41" ca="1">_xlfn.IFS(AND(ROWS($F$35:F40)&lt;=n_trusts_in_CA,selected_dq_denom_xc="n"), INDEX(trust_data_quality!$E$2:$E$123,_xlfn.AGGREGATE(15,3,(trust_data_quality!$C$2:$C$123=selected_trust_xc_ca_name)/(trust_data_quality!$C$2:$C$123=selected_trust_xc_ca_name)*(ROW(trust_data_quality!$C$2:$C$123)-ROW(trust_data_quality!$C$1)),ROWS($F$35:F40))), AND(ROWS($F$35:F40)&lt;=n_trusts_in_CA,selected_dq_denom_xc="n2"), INDEX(trust_data_quality!$F$2:$F$123,_xlfn.AGGREGATE(15,3,(trust_data_quality!$C$2:$C$123=selected_trust_xc_ca_name)/(trust_data_quality!$C$2:$C$123=selected_trust_xc_ca_name)*(ROW(trust_data_quality!$C$2:$C$123)-ROW(trust_data_quality!$C$1)),ROWS($F$35:F40))), TRUE, "")</f>
        <v>52</v>
      </c>
      <c r="G41" s="112" cm="1">
        <f t="array" aca="1" ref="G41" ca="1">IF(ROWS($G$35:G40)&lt;=n_trusts_in_CA, INDEX(trust_data_quality!$P$2:$P$123,_xlfn.AGGREGATE(15,3,(trust_data_quality!$C$2:$C$123=selected_trust_xc_ca_name)/(trust_data_quality!$C$2:$C$123=selected_trust_xc_ca_name)*(ROW(trust_data_quality!$C$2:$C$123)-ROW(trust_data_quality!$C$1)),ROWS($G$35:G40))),"")</f>
        <v>0.92307692766189575</v>
      </c>
      <c r="H41" s="113" cm="1">
        <f t="array" aca="1" ref="H41" ca="1">IF(ROWS($H$35:H40)&lt;=n_trusts_in_CA, INDEX(trust_data_quality!$Q$2:$Q$123,_xlfn.AGGREGATE(15,3,(trust_data_quality!$C$2:$C$123=selected_trust_xc_ca_name)/(trust_data_quality!$C$2:$C$123=selected_trust_xc_ca_name)*(ROW(trust_data_quality!$C$2:$C$123)-ROW(trust_data_quality!$C$1)),ROWS($H$35:H40))),"")</f>
        <v>69</v>
      </c>
      <c r="I41" s="101"/>
    </row>
    <row r="42" spans="3:9" ht="18" customHeight="1" x14ac:dyDescent="0.35">
      <c r="C42" s="101"/>
      <c r="D42" s="119" t="str" cm="1">
        <f t="array" aca="1" ref="D42" ca="1">IF(ROWS($D$35:D41)&lt;=n_trusts_in_CA, INDEX(trust_data_quality!$A$2:$A$123,_xlfn.AGGREGATE(15,3,(trust_data_quality!$C$2:$C$123=selected_trust_xc_ca_name)/(trust_data_quality!$C$2:$C$123=selected_trust_xc_ca_name)*(ROW(trust_data_quality!$C$2:$C$123)-ROW(trust_data_quality!$C$1)),ROWS($D$35:D41))),"")</f>
        <v/>
      </c>
      <c r="E42" s="101"/>
      <c r="F42" s="111" t="str" cm="1">
        <f t="array" aca="1" ref="F42" ca="1">_xlfn.IFS(AND(ROWS($F$35:F41)&lt;=n_trusts_in_CA,selected_dq_denom_xc="n"), INDEX(trust_data_quality!$E$2:$E$123,_xlfn.AGGREGATE(15,3,(trust_data_quality!$C$2:$C$123=selected_trust_xc_ca_name)/(trust_data_quality!$C$2:$C$123=selected_trust_xc_ca_name)*(ROW(trust_data_quality!$C$2:$C$123)-ROW(trust_data_quality!$C$1)),ROWS($F$35:F41))), AND(ROWS($F$35:F41)&lt;=n_trusts_in_CA,selected_dq_denom_xc="n2"), INDEX(trust_data_quality!$F$2:$F$123,_xlfn.AGGREGATE(15,3,(trust_data_quality!$C$2:$C$123=selected_trust_xc_ca_name)/(trust_data_quality!$C$2:$C$123=selected_trust_xc_ca_name)*(ROW(trust_data_quality!$C$2:$C$123)-ROW(trust_data_quality!$C$1)),ROWS($F$35:F41))), TRUE, "")</f>
        <v/>
      </c>
      <c r="G42" s="112" t="str" cm="1">
        <f t="array" aca="1" ref="G42" ca="1">IF(ROWS($G$35:G41)&lt;=n_trusts_in_CA, INDEX(trust_data_quality!$P$2:$P$123,_xlfn.AGGREGATE(15,3,(trust_data_quality!$C$2:$C$123=selected_trust_xc_ca_name)/(trust_data_quality!$C$2:$C$123=selected_trust_xc_ca_name)*(ROW(trust_data_quality!$C$2:$C$123)-ROW(trust_data_quality!$C$1)),ROWS($G$35:G41))),"")</f>
        <v/>
      </c>
      <c r="H42" s="113" t="str" cm="1">
        <f t="array" aca="1" ref="H42" ca="1">IF(ROWS($H$35:H41)&lt;=n_trusts_in_CA, INDEX(trust_data_quality!$Q$2:$Q$123,_xlfn.AGGREGATE(15,3,(trust_data_quality!$C$2:$C$123=selected_trust_xc_ca_name)/(trust_data_quality!$C$2:$C$123=selected_trust_xc_ca_name)*(ROW(trust_data_quality!$C$2:$C$123)-ROW(trust_data_quality!$C$1)),ROWS($H$35:H41))),"")</f>
        <v/>
      </c>
      <c r="I42" s="101"/>
    </row>
    <row r="43" spans="3:9" ht="18" customHeight="1" x14ac:dyDescent="0.35">
      <c r="C43" s="101"/>
      <c r="D43" s="119" t="str" cm="1">
        <f t="array" aca="1" ref="D43" ca="1">IF(ROWS($D$35:D42)&lt;=n_trusts_in_CA, INDEX(trust_data_quality!$A$2:$A$123,_xlfn.AGGREGATE(15,3,(trust_data_quality!$C$2:$C$123=selected_trust_xc_ca_name)/(trust_data_quality!$C$2:$C$123=selected_trust_xc_ca_name)*(ROW(trust_data_quality!$C$2:$C$123)-ROW(trust_data_quality!$C$1)),ROWS($D$35:D42))),"")</f>
        <v/>
      </c>
      <c r="E43" s="101"/>
      <c r="F43" s="111" t="str" cm="1">
        <f t="array" aca="1" ref="F43" ca="1">_xlfn.IFS(AND(ROWS($F$35:F42)&lt;=n_trusts_in_CA,selected_dq_denom_xc="n"), INDEX(trust_data_quality!$E$2:$E$123,_xlfn.AGGREGATE(15,3,(trust_data_quality!$C$2:$C$123=selected_trust_xc_ca_name)/(trust_data_quality!$C$2:$C$123=selected_trust_xc_ca_name)*(ROW(trust_data_quality!$C$2:$C$123)-ROW(trust_data_quality!$C$1)),ROWS($F$35:F42))), AND(ROWS($F$35:F42)&lt;=n_trusts_in_CA,selected_dq_denom_xc="n2"), INDEX(trust_data_quality!$F$2:$F$123,_xlfn.AGGREGATE(15,3,(trust_data_quality!$C$2:$C$123=selected_trust_xc_ca_name)/(trust_data_quality!$C$2:$C$123=selected_trust_xc_ca_name)*(ROW(trust_data_quality!$C$2:$C$123)-ROW(trust_data_quality!$C$1)),ROWS($F$35:F42))), TRUE, "")</f>
        <v/>
      </c>
      <c r="G43" s="112" t="str" cm="1">
        <f t="array" aca="1" ref="G43" ca="1">IF(ROWS($G$35:G42)&lt;=n_trusts_in_CA, INDEX(trust_data_quality!$P$2:$P$123,_xlfn.AGGREGATE(15,3,(trust_data_quality!$C$2:$C$123=selected_trust_xc_ca_name)/(trust_data_quality!$C$2:$C$123=selected_trust_xc_ca_name)*(ROW(trust_data_quality!$C$2:$C$123)-ROW(trust_data_quality!$C$1)),ROWS($G$35:G42))),"")</f>
        <v/>
      </c>
      <c r="H43" s="113" t="str" cm="1">
        <f t="array" aca="1" ref="H43" ca="1">IF(ROWS($H$35:H42)&lt;=n_trusts_in_CA, INDEX(trust_data_quality!$Q$2:$Q$123,_xlfn.AGGREGATE(15,3,(trust_data_quality!$C$2:$C$123=selected_trust_xc_ca_name)/(trust_data_quality!$C$2:$C$123=selected_trust_xc_ca_name)*(ROW(trust_data_quality!$C$2:$C$123)-ROW(trust_data_quality!$C$1)),ROWS($H$35:H42))),"")</f>
        <v/>
      </c>
      <c r="I43" s="101"/>
    </row>
    <row r="44" spans="3:9" ht="18" customHeight="1" x14ac:dyDescent="0.35">
      <c r="C44" s="101"/>
      <c r="D44" s="119" t="str" cm="1">
        <f t="array" aca="1" ref="D44" ca="1">IF(ROWS($D$35:D43)&lt;=n_trusts_in_CA, INDEX(trust_data_quality!$A$2:$A$123,_xlfn.AGGREGATE(15,3,(trust_data_quality!$C$2:$C$123=selected_trust_xc_ca_name)/(trust_data_quality!$C$2:$C$123=selected_trust_xc_ca_name)*(ROW(trust_data_quality!$C$2:$C$123)-ROW(trust_data_quality!$C$1)),ROWS($D$35:D43))),"")</f>
        <v/>
      </c>
      <c r="E44" s="101"/>
      <c r="F44" s="111" t="str" cm="1">
        <f t="array" aca="1" ref="F44" ca="1">_xlfn.IFS(AND(ROWS($F$35:F43)&lt;=n_trusts_in_CA,selected_dq_denom_xc="n"), INDEX(trust_data_quality!$E$2:$E$123,_xlfn.AGGREGATE(15,3,(trust_data_quality!$C$2:$C$123=selected_trust_xc_ca_name)/(trust_data_quality!$C$2:$C$123=selected_trust_xc_ca_name)*(ROW(trust_data_quality!$C$2:$C$123)-ROW(trust_data_quality!$C$1)),ROWS($F$35:F43))), AND(ROWS($F$35:F43)&lt;=n_trusts_in_CA,selected_dq_denom_xc="n2"), INDEX(trust_data_quality!$F$2:$F$123,_xlfn.AGGREGATE(15,3,(trust_data_quality!$C$2:$C$123=selected_trust_xc_ca_name)/(trust_data_quality!$C$2:$C$123=selected_trust_xc_ca_name)*(ROW(trust_data_quality!$C$2:$C$123)-ROW(trust_data_quality!$C$1)),ROWS($F$35:F43))), TRUE, "")</f>
        <v/>
      </c>
      <c r="G44" s="112" t="str" cm="1">
        <f t="array" aca="1" ref="G44" ca="1">IF(ROWS($G$35:G43)&lt;=n_trusts_in_CA, INDEX(trust_data_quality!$P$2:$P$123,_xlfn.AGGREGATE(15,3,(trust_data_quality!$C$2:$C$123=selected_trust_xc_ca_name)/(trust_data_quality!$C$2:$C$123=selected_trust_xc_ca_name)*(ROW(trust_data_quality!$C$2:$C$123)-ROW(trust_data_quality!$C$1)),ROWS($G$35:G43))),"")</f>
        <v/>
      </c>
      <c r="H44" s="113" t="str" cm="1">
        <f t="array" aca="1" ref="H44" ca="1">IF(ROWS($H$35:H43)&lt;=n_trusts_in_CA, INDEX(trust_data_quality!$Q$2:$Q$123,_xlfn.AGGREGATE(15,3,(trust_data_quality!$C$2:$C$123=selected_trust_xc_ca_name)/(trust_data_quality!$C$2:$C$123=selected_trust_xc_ca_name)*(ROW(trust_data_quality!$C$2:$C$123)-ROW(trust_data_quality!$C$1)),ROWS($H$35:H43))),"")</f>
        <v/>
      </c>
      <c r="I44" s="101"/>
    </row>
    <row r="45" spans="3:9" ht="18" customHeight="1" x14ac:dyDescent="0.35">
      <c r="C45" s="101"/>
      <c r="D45" s="119" t="str" cm="1">
        <f t="array" aca="1" ref="D45" ca="1">IF(ROWS($D$35:D44)&lt;=n_trusts_in_CA, INDEX(trust_data_quality!$A$2:$A$123,_xlfn.AGGREGATE(15,3,(trust_data_quality!$C$2:$C$123=selected_trust_xc_ca_name)/(trust_data_quality!$C$2:$C$123=selected_trust_xc_ca_name)*(ROW(trust_data_quality!$C$2:$C$123)-ROW(trust_data_quality!$C$1)),ROWS($D$35:D44))),"")</f>
        <v/>
      </c>
      <c r="E45" s="101"/>
      <c r="F45" s="111" t="str" cm="1">
        <f t="array" aca="1" ref="F45" ca="1">_xlfn.IFS(AND(ROWS($F$35:F44)&lt;=n_trusts_in_CA,selected_dq_denom_xc="n"), INDEX(trust_data_quality!$E$2:$E$123,_xlfn.AGGREGATE(15,3,(trust_data_quality!$C$2:$C$123=selected_trust_xc_ca_name)/(trust_data_quality!$C$2:$C$123=selected_trust_xc_ca_name)*(ROW(trust_data_quality!$C$2:$C$123)-ROW(trust_data_quality!$C$1)),ROWS($F$35:F44))), AND(ROWS($F$35:F44)&lt;=n_trusts_in_CA,selected_dq_denom_xc="n2"), INDEX(trust_data_quality!$F$2:$F$123,_xlfn.AGGREGATE(15,3,(trust_data_quality!$C$2:$C$123=selected_trust_xc_ca_name)/(trust_data_quality!$C$2:$C$123=selected_trust_xc_ca_name)*(ROW(trust_data_quality!$C$2:$C$123)-ROW(trust_data_quality!$C$1)),ROWS($F$35:F44))), TRUE, "")</f>
        <v/>
      </c>
      <c r="G45" s="112" t="str" cm="1">
        <f t="array" aca="1" ref="G45" ca="1">IF(ROWS($G$35:G44)&lt;=n_trusts_in_CA, INDEX(trust_data_quality!$P$2:$P$123,_xlfn.AGGREGATE(15,3,(trust_data_quality!$C$2:$C$123=selected_trust_xc_ca_name)/(trust_data_quality!$C$2:$C$123=selected_trust_xc_ca_name)*(ROW(trust_data_quality!$C$2:$C$123)-ROW(trust_data_quality!$C$1)),ROWS($G$35:G44))),"")</f>
        <v/>
      </c>
      <c r="H45" s="113" t="str" cm="1">
        <f t="array" aca="1" ref="H45" ca="1">IF(ROWS($H$35:H44)&lt;=n_trusts_in_CA, INDEX(trust_data_quality!$Q$2:$Q$123,_xlfn.AGGREGATE(15,3,(trust_data_quality!$C$2:$C$123=selected_trust_xc_ca_name)/(trust_data_quality!$C$2:$C$123=selected_trust_xc_ca_name)*(ROW(trust_data_quality!$C$2:$C$123)-ROW(trust_data_quality!$C$1)),ROWS($H$35:H44))),"")</f>
        <v/>
      </c>
      <c r="I45" s="101"/>
    </row>
    <row r="46" spans="3:9" ht="18" customHeight="1" x14ac:dyDescent="0.35">
      <c r="C46" s="101"/>
      <c r="D46" s="119" t="str" cm="1">
        <f t="array" aca="1" ref="D46" ca="1">IF(ROWS($D$35:D45)&lt;=n_trusts_in_CA, INDEX(trust_data_quality!$A$2:$A$123,_xlfn.AGGREGATE(15,3,(trust_data_quality!$C$2:$C$123=selected_trust_xc_ca_name)/(trust_data_quality!$C$2:$C$123=selected_trust_xc_ca_name)*(ROW(trust_data_quality!$C$2:$C$123)-ROW(trust_data_quality!$C$1)),ROWS($D$35:D45))),"")</f>
        <v/>
      </c>
      <c r="E46" s="101"/>
      <c r="F46" s="111" t="str" cm="1">
        <f t="array" aca="1" ref="F46" ca="1">_xlfn.IFS(AND(ROWS($F$35:F45)&lt;=n_trusts_in_CA,selected_dq_denom_xc="n"), INDEX(trust_data_quality!$E$2:$E$123,_xlfn.AGGREGATE(15,3,(trust_data_quality!$C$2:$C$123=selected_trust_xc_ca_name)/(trust_data_quality!$C$2:$C$123=selected_trust_xc_ca_name)*(ROW(trust_data_quality!$C$2:$C$123)-ROW(trust_data_quality!$C$1)),ROWS($F$35:F45))), AND(ROWS($F$35:F45)&lt;=n_trusts_in_CA,selected_dq_denom_xc="n2"), INDEX(trust_data_quality!$F$2:$F$123,_xlfn.AGGREGATE(15,3,(trust_data_quality!$C$2:$C$123=selected_trust_xc_ca_name)/(trust_data_quality!$C$2:$C$123=selected_trust_xc_ca_name)*(ROW(trust_data_quality!$C$2:$C$123)-ROW(trust_data_quality!$C$1)),ROWS($F$35:F45))), TRUE, "")</f>
        <v/>
      </c>
      <c r="G46" s="112" t="str" cm="1">
        <f t="array" aca="1" ref="G46" ca="1">IF(ROWS($G$35:G45)&lt;=n_trusts_in_CA, INDEX(trust_data_quality!$P$2:$P$123,_xlfn.AGGREGATE(15,3,(trust_data_quality!$C$2:$C$123=selected_trust_xc_ca_name)/(trust_data_quality!$C$2:$C$123=selected_trust_xc_ca_name)*(ROW(trust_data_quality!$C$2:$C$123)-ROW(trust_data_quality!$C$1)),ROWS($G$35:G45))),"")</f>
        <v/>
      </c>
      <c r="H46" s="113" t="str" cm="1">
        <f t="array" aca="1" ref="H46" ca="1">IF(ROWS($H$35:H45)&lt;=n_trusts_in_CA, INDEX(trust_data_quality!$Q$2:$Q$123,_xlfn.AGGREGATE(15,3,(trust_data_quality!$C$2:$C$123=selected_trust_xc_ca_name)/(trust_data_quality!$C$2:$C$123=selected_trust_xc_ca_name)*(ROW(trust_data_quality!$C$2:$C$123)-ROW(trust_data_quality!$C$1)),ROWS($H$35:H45))),"")</f>
        <v/>
      </c>
      <c r="I46" s="101"/>
    </row>
    <row r="47" spans="3:9" ht="18" customHeight="1" x14ac:dyDescent="0.35">
      <c r="C47" s="101"/>
      <c r="D47" s="121" t="str" cm="1">
        <f t="array" aca="1" ref="D47" ca="1">IF(ROWS($D$35:D46)&lt;=n_trusts_in_CA, INDEX(trust_data_quality!$A$2:$A$123,_xlfn.AGGREGATE(15,3,(trust_data_quality!$C$2:$C$123=selected_trust_xc_ca_name)/(trust_data_quality!$C$2:$C$123=selected_trust_xc_ca_name)*(ROW(trust_data_quality!$C$2:$C$123)-ROW(trust_data_quality!$C$1)),ROWS($D$35:D46))),"")</f>
        <v/>
      </c>
      <c r="E47" s="108"/>
      <c r="F47" s="115" t="str" cm="1">
        <f t="array" aca="1" ref="F47" ca="1">_xlfn.IFS(AND(ROWS($F$35:F46)&lt;=n_trusts_in_CA,selected_dq_denom_xc="n"), INDEX(trust_data_quality!$E$2:$E$123,_xlfn.AGGREGATE(15,3,(trust_data_quality!$C$2:$C$123=selected_trust_xc_ca_name)/(trust_data_quality!$C$2:$C$123=selected_trust_xc_ca_name)*(ROW(trust_data_quality!$C$2:$C$123)-ROW(trust_data_quality!$C$1)),ROWS($F$35:F46))), AND(ROWS($F$35:F46)&lt;=n_trusts_in_CA,selected_dq_denom_xc="n2"), INDEX(trust_data_quality!$F$2:$F$123,_xlfn.AGGREGATE(15,3,(trust_data_quality!$C$2:$C$123=selected_trust_xc_ca_name)/(trust_data_quality!$C$2:$C$123=selected_trust_xc_ca_name)*(ROW(trust_data_quality!$C$2:$C$123)-ROW(trust_data_quality!$C$1)),ROWS($F$35:F46))), TRUE, "")</f>
        <v/>
      </c>
      <c r="G47" s="116" t="str" cm="1">
        <f t="array" aca="1" ref="G47" ca="1">IF(ROWS($G$35:G46)&lt;=n_trusts_in_CA, INDEX(trust_data_quality!$P$2:$P$123,_xlfn.AGGREGATE(15,3,(trust_data_quality!$C$2:$C$123=selected_trust_xc_ca_name)/(trust_data_quality!$C$2:$C$123=selected_trust_xc_ca_name)*(ROW(trust_data_quality!$C$2:$C$123)-ROW(trust_data_quality!$C$1)),ROWS($G$35:G46))),"")</f>
        <v/>
      </c>
      <c r="H47" s="122" t="str" cm="1">
        <f t="array" aca="1" ref="H47" ca="1">IF(ROWS($H$35:H46)&lt;=n_trusts_in_CA, INDEX(trust_data_quality!$Q$2:$Q$123,_xlfn.AGGREGATE(15,3,(trust_data_quality!$C$2:$C$123=selected_trust_xc_ca_name)/(trust_data_quality!$C$2:$C$123=selected_trust_xc_ca_name)*(ROW(trust_data_quality!$C$2:$C$123)-ROW(trust_data_quality!$C$1)),ROWS($H$35:H46))),"")</f>
        <v/>
      </c>
      <c r="I47" s="101"/>
    </row>
    <row r="48" spans="3:9" ht="18" customHeight="1" x14ac:dyDescent="0.35">
      <c r="C48" s="101"/>
      <c r="D48" s="101"/>
      <c r="E48" s="101"/>
      <c r="F48" s="101"/>
      <c r="G48" s="123"/>
      <c r="H48" s="101"/>
      <c r="I48" s="101"/>
    </row>
    <row r="49" spans="3:9" ht="18" customHeight="1" x14ac:dyDescent="0.35">
      <c r="C49" s="101"/>
      <c r="D49" s="120"/>
      <c r="E49" s="101"/>
      <c r="F49" s="101"/>
      <c r="G49" s="123"/>
      <c r="H49" s="101"/>
      <c r="I49" s="101"/>
    </row>
    <row r="50" spans="3:9" ht="18" customHeight="1" x14ac:dyDescent="0.35">
      <c r="C50" s="101"/>
      <c r="D50" s="120"/>
      <c r="E50" s="101"/>
      <c r="F50" s="101"/>
      <c r="G50" s="123"/>
      <c r="H50" s="101"/>
      <c r="I50" s="101"/>
    </row>
    <row r="51" spans="3:9" ht="18" customHeight="1" x14ac:dyDescent="0.35">
      <c r="C51" s="101"/>
      <c r="D51" s="120"/>
      <c r="E51" s="101"/>
      <c r="F51" s="101"/>
      <c r="G51" s="123"/>
      <c r="H51" s="101"/>
      <c r="I51" s="101"/>
    </row>
    <row r="52" spans="3:9" ht="18" customHeight="1" x14ac:dyDescent="0.35">
      <c r="C52" s="101"/>
      <c r="D52" s="120"/>
      <c r="E52" s="101"/>
      <c r="F52" s="101"/>
      <c r="G52" s="123"/>
      <c r="H52" s="101"/>
      <c r="I52" s="101"/>
    </row>
    <row r="53" spans="3:9" ht="18" customHeight="1" x14ac:dyDescent="0.35">
      <c r="C53" s="101"/>
      <c r="D53" s="120"/>
      <c r="E53" s="101"/>
      <c r="F53" s="101"/>
      <c r="G53" s="123"/>
      <c r="H53" s="101"/>
      <c r="I53" s="101"/>
    </row>
    <row r="54" spans="3:9" ht="18" customHeight="1" x14ac:dyDescent="0.35">
      <c r="C54" s="101"/>
      <c r="D54" s="120"/>
      <c r="E54" s="101"/>
      <c r="F54" s="101"/>
      <c r="G54" s="123"/>
      <c r="H54" s="101"/>
      <c r="I54" s="101"/>
    </row>
    <row r="55" spans="3:9" ht="18" customHeight="1" x14ac:dyDescent="0.35">
      <c r="C55" s="101"/>
      <c r="D55" s="101"/>
      <c r="E55" s="101"/>
      <c r="F55" s="101"/>
      <c r="G55" s="123"/>
      <c r="H55" s="101"/>
      <c r="I55" s="101"/>
    </row>
    <row r="56" spans="3:9" ht="18" customHeight="1" x14ac:dyDescent="0.35">
      <c r="C56" s="101"/>
      <c r="D56" s="101"/>
      <c r="E56" s="101"/>
      <c r="F56" s="101"/>
      <c r="G56" s="123"/>
      <c r="H56" s="101"/>
      <c r="I56" s="101"/>
    </row>
    <row r="57" spans="3:9" ht="18" customHeight="1" x14ac:dyDescent="0.35">
      <c r="C57" s="101"/>
      <c r="D57" s="120"/>
      <c r="E57" s="101"/>
      <c r="F57" s="101"/>
      <c r="G57" s="123"/>
      <c r="H57" s="101"/>
      <c r="I57" s="101"/>
    </row>
    <row r="58" spans="3:9" ht="18" customHeight="1" x14ac:dyDescent="0.35">
      <c r="C58" s="101"/>
      <c r="D58" s="120"/>
      <c r="E58" s="101"/>
      <c r="F58" s="101"/>
      <c r="G58" s="123"/>
      <c r="H58" s="101"/>
      <c r="I58" s="101"/>
    </row>
    <row r="59" spans="3:9" ht="18" customHeight="1" x14ac:dyDescent="0.35">
      <c r="C59" s="101"/>
      <c r="D59" s="120"/>
      <c r="E59" s="101"/>
      <c r="F59" s="101"/>
      <c r="G59" s="123"/>
      <c r="H59" s="101"/>
      <c r="I59" s="101"/>
    </row>
    <row r="60" spans="3:9" ht="18" customHeight="1" x14ac:dyDescent="0.35">
      <c r="C60" s="101"/>
      <c r="D60" s="120"/>
      <c r="E60" s="101"/>
      <c r="F60" s="101"/>
      <c r="G60" s="123"/>
      <c r="H60" s="101"/>
      <c r="I60" s="101"/>
    </row>
    <row r="61" spans="3:9" ht="18" customHeight="1" x14ac:dyDescent="0.35">
      <c r="C61" s="101"/>
      <c r="D61" s="120"/>
      <c r="E61" s="101"/>
      <c r="F61" s="101"/>
      <c r="G61" s="123"/>
      <c r="H61" s="101"/>
      <c r="I61" s="101"/>
    </row>
    <row r="62" spans="3:9" ht="18" customHeight="1" x14ac:dyDescent="0.35">
      <c r="C62" s="101"/>
      <c r="D62" s="120"/>
      <c r="E62" s="101"/>
      <c r="F62" s="101"/>
      <c r="G62" s="123"/>
      <c r="H62" s="101"/>
      <c r="I62" s="101"/>
    </row>
    <row r="63" spans="3:9" ht="18" customHeight="1" x14ac:dyDescent="0.35">
      <c r="C63" s="101"/>
      <c r="D63" s="120"/>
      <c r="E63" s="101"/>
      <c r="F63" s="101"/>
      <c r="G63" s="123"/>
      <c r="H63" s="101"/>
      <c r="I63" s="101"/>
    </row>
    <row r="64" spans="3:9" ht="18" customHeight="1" x14ac:dyDescent="0.35">
      <c r="C64" s="101"/>
      <c r="D64" s="120"/>
      <c r="E64" s="101"/>
      <c r="F64" s="101"/>
      <c r="G64" s="123"/>
      <c r="H64" s="101"/>
      <c r="I64" s="101"/>
    </row>
    <row r="65" spans="3:9" ht="18" customHeight="1" x14ac:dyDescent="0.35">
      <c r="C65" s="101"/>
      <c r="D65" s="120"/>
      <c r="E65" s="101"/>
      <c r="F65" s="101"/>
      <c r="G65" s="123"/>
      <c r="H65" s="101"/>
      <c r="I65" s="101"/>
    </row>
    <row r="66" spans="3:9" ht="18" customHeight="1" x14ac:dyDescent="0.35">
      <c r="C66" s="101"/>
      <c r="D66" s="120"/>
      <c r="E66" s="101"/>
      <c r="F66" s="101"/>
      <c r="G66" s="123"/>
      <c r="H66" s="101"/>
      <c r="I66" s="101"/>
    </row>
    <row r="67" spans="3:9" ht="18" customHeight="1" x14ac:dyDescent="0.35">
      <c r="C67" s="101"/>
      <c r="D67" s="120"/>
      <c r="E67" s="101"/>
      <c r="F67" s="101"/>
      <c r="G67" s="123"/>
      <c r="H67" s="101"/>
      <c r="I67" s="101"/>
    </row>
    <row r="68" spans="3:9" ht="18" customHeight="1" x14ac:dyDescent="0.35">
      <c r="C68" s="101"/>
      <c r="D68" s="120"/>
      <c r="E68" s="101"/>
      <c r="F68" s="101"/>
      <c r="G68" s="123"/>
      <c r="H68" s="101"/>
      <c r="I68" s="101"/>
    </row>
    <row r="69" spans="3:9" ht="18" customHeight="1" x14ac:dyDescent="0.35">
      <c r="C69" s="101"/>
      <c r="D69" s="120"/>
      <c r="E69" s="101"/>
      <c r="F69" s="101"/>
      <c r="G69" s="123"/>
      <c r="H69" s="101"/>
      <c r="I69" s="101"/>
    </row>
    <row r="70" spans="3:9" ht="18" customHeight="1" x14ac:dyDescent="0.35">
      <c r="C70" s="101"/>
      <c r="D70" s="120"/>
      <c r="E70" s="101"/>
      <c r="F70" s="101"/>
      <c r="G70" s="123"/>
      <c r="H70" s="101"/>
      <c r="I70" s="101"/>
    </row>
    <row r="71" spans="3:9" ht="18" customHeight="1" x14ac:dyDescent="0.35">
      <c r="C71" s="101"/>
      <c r="D71" s="120"/>
      <c r="E71" s="101"/>
      <c r="F71" s="101"/>
      <c r="G71" s="123"/>
      <c r="H71" s="101"/>
      <c r="I71" s="101"/>
    </row>
    <row r="72" spans="3:9" ht="18" customHeight="1" x14ac:dyDescent="0.35">
      <c r="C72" s="101"/>
      <c r="D72" s="120"/>
      <c r="E72" s="101"/>
      <c r="F72" s="101"/>
      <c r="G72" s="123"/>
      <c r="H72" s="101"/>
      <c r="I72" s="101"/>
    </row>
    <row r="73" spans="3:9" ht="18" customHeight="1" x14ac:dyDescent="0.35">
      <c r="C73" s="101"/>
      <c r="D73" s="120"/>
      <c r="E73" s="101"/>
      <c r="F73" s="101"/>
      <c r="G73" s="123"/>
      <c r="H73" s="101"/>
      <c r="I73" s="101"/>
    </row>
    <row r="74" spans="3:9" ht="18" customHeight="1" x14ac:dyDescent="0.35">
      <c r="C74" s="101"/>
      <c r="D74" s="120"/>
      <c r="E74" s="101"/>
      <c r="F74" s="101"/>
      <c r="G74" s="123"/>
      <c r="H74" s="101"/>
      <c r="I74" s="101"/>
    </row>
    <row r="75" spans="3:9" ht="18" customHeight="1" x14ac:dyDescent="0.35">
      <c r="C75" s="101"/>
      <c r="D75" s="120"/>
      <c r="E75" s="101"/>
      <c r="F75" s="101"/>
      <c r="G75" s="123"/>
      <c r="H75" s="101"/>
      <c r="I75" s="101"/>
    </row>
    <row r="76" spans="3:9" ht="18" customHeight="1" x14ac:dyDescent="0.35">
      <c r="C76" s="101"/>
      <c r="D76" s="120"/>
      <c r="E76" s="101"/>
      <c r="F76" s="101"/>
      <c r="G76" s="123"/>
      <c r="H76" s="101"/>
      <c r="I76" s="101"/>
    </row>
    <row r="77" spans="3:9" ht="18" customHeight="1" x14ac:dyDescent="0.35">
      <c r="C77" s="101"/>
      <c r="D77" s="120"/>
      <c r="E77" s="101"/>
      <c r="F77" s="101"/>
      <c r="G77" s="123"/>
      <c r="H77" s="101"/>
      <c r="I77" s="101"/>
    </row>
    <row r="78" spans="3:9" ht="18" customHeight="1" x14ac:dyDescent="0.35">
      <c r="C78" s="101"/>
      <c r="D78" s="120"/>
      <c r="E78" s="101"/>
      <c r="F78" s="101"/>
      <c r="G78" s="123"/>
      <c r="H78" s="101"/>
      <c r="I78" s="101"/>
    </row>
    <row r="79" spans="3:9" ht="18" customHeight="1" x14ac:dyDescent="0.35">
      <c r="C79" s="101"/>
      <c r="D79" s="120"/>
      <c r="E79" s="101"/>
      <c r="F79" s="101"/>
      <c r="G79" s="123"/>
      <c r="H79" s="101"/>
      <c r="I79" s="101"/>
    </row>
    <row r="80" spans="3:9" ht="18" customHeight="1" x14ac:dyDescent="0.35">
      <c r="C80" s="101"/>
      <c r="D80" s="120"/>
      <c r="E80" s="101"/>
      <c r="F80" s="101"/>
      <c r="G80" s="123"/>
      <c r="H80" s="101"/>
      <c r="I80" s="101"/>
    </row>
    <row r="81" spans="3:9" ht="18" customHeight="1" x14ac:dyDescent="0.35">
      <c r="C81" s="101"/>
      <c r="D81" s="120"/>
      <c r="E81" s="101"/>
      <c r="F81" s="101"/>
      <c r="G81" s="123"/>
      <c r="H81" s="101"/>
      <c r="I81" s="101"/>
    </row>
    <row r="82" spans="3:9" ht="18" customHeight="1" x14ac:dyDescent="0.35">
      <c r="C82" s="101"/>
      <c r="D82" s="120"/>
      <c r="E82" s="101"/>
      <c r="F82" s="101"/>
      <c r="G82" s="123"/>
      <c r="H82" s="101"/>
      <c r="I82" s="101"/>
    </row>
    <row r="83" spans="3:9" ht="18" customHeight="1" x14ac:dyDescent="0.3">
      <c r="D83" s="4"/>
      <c r="G83" s="20"/>
    </row>
    <row r="84" spans="3:9" ht="18" customHeight="1" x14ac:dyDescent="0.3">
      <c r="D84" s="4"/>
      <c r="G84" s="20"/>
    </row>
    <row r="85" spans="3:9" ht="18" customHeight="1" x14ac:dyDescent="0.3">
      <c r="D85" s="4"/>
      <c r="G85" s="20"/>
    </row>
    <row r="86" spans="3:9" ht="18" customHeight="1" x14ac:dyDescent="0.3">
      <c r="D86" s="4"/>
      <c r="G86" s="20"/>
    </row>
    <row r="87" spans="3:9" ht="18" customHeight="1" x14ac:dyDescent="0.3"/>
    <row r="88" spans="3:9" ht="18" customHeight="1" x14ac:dyDescent="0.3"/>
    <row r="89" spans="3:9" ht="18" customHeight="1" x14ac:dyDescent="0.3"/>
    <row r="95" spans="3:9" ht="15" customHeight="1" x14ac:dyDescent="0.3"/>
    <row r="116" spans="17:17" x14ac:dyDescent="0.3">
      <c r="Q116" s="1"/>
    </row>
  </sheetData>
  <mergeCells count="14">
    <mergeCell ref="K4:O5"/>
    <mergeCell ref="K7:O8"/>
    <mergeCell ref="F34:F35"/>
    <mergeCell ref="D34:D35"/>
    <mergeCell ref="J21:O22"/>
    <mergeCell ref="C17:G18"/>
    <mergeCell ref="H34:H35"/>
    <mergeCell ref="H23:H25"/>
    <mergeCell ref="D15:G15"/>
    <mergeCell ref="D9:G9"/>
    <mergeCell ref="C21:H22"/>
    <mergeCell ref="C31:H32"/>
    <mergeCell ref="F23:F25"/>
    <mergeCell ref="G23:G24"/>
  </mergeCells>
  <conditionalFormatting sqref="G26:G28">
    <cfRule type="expression" dxfId="17" priority="2">
      <formula>$K$16="N/A"</formula>
    </cfRule>
    <cfRule type="cellIs" dxfId="16" priority="12" operator="equal">
      <formula>$K$16</formula>
    </cfRule>
    <cfRule type="iconSet" priority="13">
      <iconSet iconSet="3Symbols2">
        <cfvo type="percent" val="0"/>
        <cfvo type="formula" val="$K$16"/>
        <cfvo type="num" val="$K$16" gte="0"/>
      </iconSet>
    </cfRule>
    <cfRule type="cellIs" dxfId="9" priority="28" operator="lessThan">
      <formula>$K$16</formula>
    </cfRule>
    <cfRule type="cellIs" dxfId="15" priority="30" operator="greaterThanOrEqual">
      <formula>$K$16</formula>
    </cfRule>
  </conditionalFormatting>
  <conditionalFormatting sqref="G36:G47">
    <cfRule type="expression" dxfId="14" priority="1">
      <formula>$K$16="N/A"</formula>
    </cfRule>
    <cfRule type="iconSet" priority="6">
      <iconSet iconSet="3Symbols2">
        <cfvo type="percent" val="0"/>
        <cfvo type="formula" val="$K$16"/>
        <cfvo type="num" val="$K$16" gte="0"/>
      </iconSet>
    </cfRule>
    <cfRule type="cellIs" dxfId="13" priority="7" operator="equal">
      <formula>""</formula>
    </cfRule>
    <cfRule type="cellIs" dxfId="12" priority="8" operator="equal">
      <formula>$K$16</formula>
    </cfRule>
    <cfRule type="cellIs" dxfId="11" priority="9" operator="lessThan">
      <formula>$K$16</formula>
    </cfRule>
    <cfRule type="cellIs" dxfId="10" priority="10" operator="greaterThan">
      <formula>$K$16</formula>
    </cfRule>
  </conditionalFormatting>
  <pageMargins left="0.70866141732283472" right="0.70866141732283472" top="0.74803149606299213" bottom="0.74803149606299213" header="0.31496062992125984" footer="0.31496062992125984"/>
  <pageSetup paperSize="9" scale="40" orientation="landscape" r:id="rId1"/>
  <ignoredErrors>
    <ignoredError sqref="F26"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Lists!$A$63:$A$184</xm:f>
          </x14:formula1>
          <xm:sqref>D9</xm:sqref>
        </x14:dataValidation>
        <x14:dataValidation type="list" allowBlank="1" showInputMessage="1" showErrorMessage="1" xr:uid="{00000000-0002-0000-0300-000001000000}">
          <x14:formula1>
            <xm:f>Lists!$A$11:$A$18</xm:f>
          </x14:formula1>
          <xm:sqref>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24"/>
  <sheetViews>
    <sheetView showGridLines="0" zoomScale="85" zoomScaleNormal="85" workbookViewId="0"/>
  </sheetViews>
  <sheetFormatPr defaultRowHeight="14.4" x14ac:dyDescent="0.3"/>
  <cols>
    <col min="1" max="1" width="3.88671875" customWidth="1"/>
    <col min="2" max="2" width="3" customWidth="1"/>
    <col min="3" max="3" width="3.5546875" customWidth="1"/>
    <col min="4" max="4" width="30" customWidth="1"/>
    <col min="5" max="7" width="20.44140625" customWidth="1"/>
    <col min="8" max="8" width="19.109375" bestFit="1" customWidth="1"/>
    <col min="9" max="9" width="7.5546875" customWidth="1"/>
    <col min="10" max="10" width="4" customWidth="1"/>
    <col min="11" max="11" width="50.109375" customWidth="1"/>
    <col min="12" max="12" width="17.44140625" bestFit="1" customWidth="1"/>
    <col min="13" max="13" width="16.5546875" customWidth="1"/>
    <col min="14" max="14" width="23.6640625" customWidth="1"/>
    <col min="15" max="15" width="19.33203125" bestFit="1" customWidth="1"/>
    <col min="16" max="16" width="18.109375" bestFit="1" customWidth="1"/>
    <col min="17" max="17" width="19.33203125" bestFit="1" customWidth="1"/>
  </cols>
  <sheetData>
    <row r="1" spans="2:10" ht="18" customHeight="1" x14ac:dyDescent="0.3"/>
    <row r="2" spans="2:10" ht="18" customHeight="1" x14ac:dyDescent="0.3"/>
    <row r="3" spans="2:10" ht="18" customHeight="1" x14ac:dyDescent="0.3"/>
    <row r="4" spans="2:10" ht="18" customHeight="1" x14ac:dyDescent="0.3"/>
    <row r="5" spans="2:10" ht="18" customHeight="1" x14ac:dyDescent="0.3">
      <c r="G5" s="33"/>
    </row>
    <row r="6" spans="2:10" ht="18" customHeight="1" x14ac:dyDescent="0.3"/>
    <row r="7" spans="2:10" ht="18" customHeight="1" x14ac:dyDescent="0.35">
      <c r="B7" s="101"/>
      <c r="C7" s="100" t="s">
        <v>299</v>
      </c>
      <c r="D7" s="101"/>
      <c r="E7" s="101"/>
      <c r="F7" s="102"/>
      <c r="G7" s="101"/>
      <c r="H7" s="101"/>
      <c r="I7" s="101"/>
    </row>
    <row r="8" spans="2:10" ht="18" customHeight="1" thickBot="1" x14ac:dyDescent="0.4">
      <c r="B8" s="101"/>
      <c r="C8" s="101"/>
      <c r="D8" s="101"/>
      <c r="E8" s="101"/>
      <c r="F8" s="102"/>
      <c r="G8" s="101"/>
      <c r="H8" s="101"/>
      <c r="I8" s="101"/>
    </row>
    <row r="9" spans="2:10" ht="18" customHeight="1" thickBot="1" x14ac:dyDescent="0.4">
      <c r="B9" s="101"/>
      <c r="C9" s="101"/>
      <c r="D9" s="172" t="s">
        <v>89</v>
      </c>
      <c r="E9" s="173"/>
      <c r="F9" s="173"/>
      <c r="G9" s="174"/>
      <c r="H9" s="101"/>
      <c r="I9" s="101"/>
    </row>
    <row r="10" spans="2:10" ht="18" customHeight="1" x14ac:dyDescent="0.35">
      <c r="B10" s="101"/>
      <c r="C10" s="101"/>
      <c r="D10" s="101"/>
      <c r="E10" s="101"/>
      <c r="F10" s="101"/>
      <c r="G10" s="101"/>
      <c r="H10" s="101"/>
      <c r="I10" s="101"/>
    </row>
    <row r="11" spans="2:10" ht="18" customHeight="1" x14ac:dyDescent="0.35">
      <c r="B11" s="101"/>
      <c r="C11" s="103" t="str">
        <f ca="1">"This selected Trust is within the "&amp;selected_trust_ptc_ca_name&amp;" Cancer Alliance"</f>
        <v>This selected Trust is within the West Yorkshire and Harrogate Cancer Alliance</v>
      </c>
      <c r="D11" s="101"/>
      <c r="E11" s="101"/>
      <c r="F11" s="101"/>
      <c r="G11" s="101"/>
      <c r="H11" s="101"/>
      <c r="I11" s="101"/>
    </row>
    <row r="12" spans="2:10" ht="18" customHeight="1" x14ac:dyDescent="0.35">
      <c r="B12" s="101"/>
      <c r="C12" s="101"/>
      <c r="D12" s="101"/>
      <c r="E12" s="101"/>
      <c r="F12" s="102"/>
      <c r="G12" s="101"/>
      <c r="H12" s="101"/>
      <c r="I12" s="101"/>
    </row>
    <row r="13" spans="2:10" ht="18" customHeight="1" x14ac:dyDescent="0.35">
      <c r="B13" s="101"/>
      <c r="C13" s="133" t="str">
        <f>"Table 3:  Characteristics of people diagnosed with pancreatic cancer in England between "&amp;start_date_england_char&amp;" and "&amp;end_date_england_char</f>
        <v>Table 3:  Characteristics of people diagnosed with pancreatic cancer in England between October 2021 and September 2023</v>
      </c>
      <c r="D13" s="133"/>
      <c r="E13" s="133"/>
      <c r="F13" s="133"/>
      <c r="G13" s="133"/>
      <c r="H13" s="133"/>
      <c r="I13" s="102"/>
    </row>
    <row r="14" spans="2:10" ht="18" customHeight="1" x14ac:dyDescent="0.35">
      <c r="B14" s="101"/>
      <c r="C14" s="101"/>
      <c r="D14" s="101"/>
      <c r="E14" s="101"/>
      <c r="F14" s="101"/>
      <c r="G14" s="101"/>
      <c r="H14" s="101"/>
      <c r="I14" s="102"/>
      <c r="J14" t="s">
        <v>262</v>
      </c>
    </row>
    <row r="15" spans="2:10" ht="18" customHeight="1" x14ac:dyDescent="0.35">
      <c r="B15" s="101"/>
      <c r="C15" s="101"/>
      <c r="D15" s="178" t="s">
        <v>454</v>
      </c>
      <c r="E15" s="134" t="s">
        <v>297</v>
      </c>
      <c r="F15" s="134" t="s">
        <v>336</v>
      </c>
      <c r="G15" s="135" t="s">
        <v>296</v>
      </c>
      <c r="H15" s="101"/>
      <c r="I15" s="101"/>
    </row>
    <row r="16" spans="2:10" ht="18" customHeight="1" x14ac:dyDescent="0.35">
      <c r="B16" s="101"/>
      <c r="C16" s="101"/>
      <c r="D16" s="179"/>
      <c r="E16" s="109" t="s">
        <v>512</v>
      </c>
      <c r="F16" s="109" t="s">
        <v>512</v>
      </c>
      <c r="G16" s="148" t="s">
        <v>512</v>
      </c>
      <c r="H16" s="101"/>
      <c r="I16" s="101"/>
    </row>
    <row r="17" spans="2:9" ht="18" customHeight="1" x14ac:dyDescent="0.35">
      <c r="B17" s="101"/>
      <c r="C17" s="101"/>
      <c r="D17" s="136" t="s">
        <v>458</v>
      </c>
      <c r="E17" s="101"/>
      <c r="F17" s="101"/>
      <c r="G17" s="137"/>
      <c r="H17" s="101"/>
      <c r="I17" s="101"/>
    </row>
    <row r="18" spans="2:9" ht="18" customHeight="1" x14ac:dyDescent="0.35">
      <c r="B18" s="101"/>
      <c r="C18" s="101"/>
      <c r="D18" s="138" t="s">
        <v>456</v>
      </c>
      <c r="E18" s="139" t="str">
        <f ca="1">TEXT(INDEX(INDIRECT(trust_ptc_table),MATCH(selected_trust_ptc,INDIRECT(trust_ptc_rows),0),MATCH("p_genmale",INDIRECT(trust_ptc_cols),0)),0)</f>
        <v>57</v>
      </c>
      <c r="F18" s="139" t="str">
        <f ca="1">TEXT(INDEX(INDIRECT(alliance_ptc_table),MATCH(selected_trust_ptc_ca_name,INDIRECT(alliance_ptc_rows),0),MATCH("p_genmale",INDIRECT(alliance_ptc_cols),0)),0)</f>
        <v>51</v>
      </c>
      <c r="G18" s="140" t="str">
        <f ca="1">TEXT(INDEX(INDIRECT(national_ptc_row),1,MATCH("p_genmale",INDIRECT(national_ptc_cols),0)),0)</f>
        <v>51</v>
      </c>
      <c r="H18" s="101"/>
      <c r="I18" s="101"/>
    </row>
    <row r="19" spans="2:9" ht="18" customHeight="1" x14ac:dyDescent="0.35">
      <c r="B19" s="101"/>
      <c r="C19" s="101"/>
      <c r="D19" s="138" t="s">
        <v>457</v>
      </c>
      <c r="E19" s="139" t="str">
        <f ca="1">TEXT(INDEX(INDIRECT(trust_ptc_table),MATCH(selected_trust_ptc,INDIRECT(trust_ptc_rows),0),MATCH("p_genfemale",INDIRECT(trust_ptc_cols),0)),0)</f>
        <v>43</v>
      </c>
      <c r="F19" s="139" t="str">
        <f ca="1">TEXT(INDEX(INDIRECT(alliance_ptc_table),MATCH(selected_trust_ptc_ca_name,INDIRECT(alliance_ptc_rows),0),MATCH("p_genfemale",INDIRECT(alliance_ptc_cols),0)),0)</f>
        <v>49</v>
      </c>
      <c r="G19" s="140" t="str">
        <f ca="1">TEXT(INDEX(INDIRECT(national_ptc_row),1,MATCH("p_genfemale",INDIRECT(national_ptc_cols),0)),0)</f>
        <v>49</v>
      </c>
      <c r="H19" s="101"/>
      <c r="I19" s="101"/>
    </row>
    <row r="20" spans="2:9" ht="18" customHeight="1" x14ac:dyDescent="0.35">
      <c r="B20" s="101"/>
      <c r="C20" s="101"/>
      <c r="D20" s="141" t="s">
        <v>459</v>
      </c>
      <c r="E20" s="142"/>
      <c r="F20" s="142"/>
      <c r="G20" s="143"/>
      <c r="H20" s="101"/>
      <c r="I20" s="101"/>
    </row>
    <row r="21" spans="2:9" ht="18" customHeight="1" x14ac:dyDescent="0.35">
      <c r="B21" s="101"/>
      <c r="C21" s="101"/>
      <c r="D21" s="138" t="s">
        <v>460</v>
      </c>
      <c r="E21" s="139" t="str">
        <f ca="1">TEXT(INDEX(INDIRECT(trust_ptc_table),MATCH(selected_trust_ptc,INDIRECT(trust_ptc_rows),0),MATCH("p_age60",INDIRECT(trust_ptc_cols),0)),0)</f>
        <v>13</v>
      </c>
      <c r="F21" s="139" t="str">
        <f ca="1">TEXT(INDEX(INDIRECT(alliance_ptc_table),MATCH(selected_trust_ptc_ca_name,INDIRECT(alliance_ptc_rows),0),MATCH("p_age60",INDIRECT(alliance_ptc_cols),0)),0)</f>
        <v>17</v>
      </c>
      <c r="G21" s="140" t="str">
        <f ca="1">TEXT(INDEX(INDIRECT(national_ptc_row),1,MATCH("p_age60",INDIRECT(national_ptc_cols),0)),0)</f>
        <v>14</v>
      </c>
      <c r="H21" s="101"/>
      <c r="I21" s="101"/>
    </row>
    <row r="22" spans="2:9" ht="18" customHeight="1" x14ac:dyDescent="0.35">
      <c r="B22" s="101"/>
      <c r="C22" s="101"/>
      <c r="D22" s="138" t="s">
        <v>461</v>
      </c>
      <c r="E22" s="139" t="str">
        <f ca="1">TEXT(INDEX(INDIRECT(trust_ptc_table),MATCH(selected_trust_ptc,INDIRECT(trust_ptc_rows),0),MATCH("p_age70",INDIRECT(trust_ptc_cols),0)),0)</f>
        <v>24</v>
      </c>
      <c r="F22" s="139" t="str">
        <f ca="1">TEXT(INDEX(INDIRECT(alliance_ptc_table),MATCH(selected_trust_ptc_ca_name,INDIRECT(alliance_ptc_rows),0),MATCH("p_age70",INDIRECT(alliance_ptc_cols),0)),0)</f>
        <v>22</v>
      </c>
      <c r="G22" s="140" t="str">
        <f ca="1">TEXT(INDEX(INDIRECT(national_ptc_row),1,MATCH("p_age70",INDIRECT(national_ptc_cols),0)),0)</f>
        <v>22</v>
      </c>
      <c r="H22" s="101"/>
      <c r="I22" s="101"/>
    </row>
    <row r="23" spans="2:9" ht="18" customHeight="1" x14ac:dyDescent="0.35">
      <c r="B23" s="101"/>
      <c r="C23" s="101"/>
      <c r="D23" s="138" t="s">
        <v>462</v>
      </c>
      <c r="E23" s="139" t="str">
        <f ca="1">TEXT(INDEX(INDIRECT(trust_ptc_table),MATCH(selected_trust_ptc,INDIRECT(trust_ptc_rows),0),MATCH("p_age80",INDIRECT(trust_ptc_cols),0)),0)</f>
        <v>36</v>
      </c>
      <c r="F23" s="139" t="str">
        <f ca="1">TEXT(INDEX(INDIRECT(alliance_ptc_table),MATCH(selected_trust_ptc_ca_name,INDIRECT(alliance_ptc_rows),0),MATCH("p_age80",INDIRECT(alliance_ptc_cols),0)),0)</f>
        <v>34</v>
      </c>
      <c r="G23" s="140" t="str">
        <f ca="1">TEXT(INDEX(INDIRECT(national_ptc_row),1,MATCH("p_age80",INDIRECT(national_ptc_cols),0)),0)</f>
        <v>35</v>
      </c>
      <c r="H23" s="101"/>
      <c r="I23" s="101"/>
    </row>
    <row r="24" spans="2:9" ht="18" customHeight="1" x14ac:dyDescent="0.35">
      <c r="B24" s="101"/>
      <c r="C24" s="101"/>
      <c r="D24" s="138" t="s">
        <v>463</v>
      </c>
      <c r="E24" s="139" t="str">
        <f ca="1">TEXT(INDEX(INDIRECT(trust_ptc_table),MATCH(selected_trust_ptc,INDIRECT(trust_ptc_rows),0),MATCH("p_age80plus",INDIRECT(trust_ptc_cols),0)),0)</f>
        <v>27</v>
      </c>
      <c r="F24" s="139" t="str">
        <f ca="1">TEXT(INDEX(INDIRECT(alliance_ptc_table),MATCH(selected_trust_ptc_ca_name,INDIRECT(alliance_ptc_rows),0),MATCH("p_age80plus",INDIRECT(alliance_ptc_cols),0)),0)</f>
        <v>28</v>
      </c>
      <c r="G24" s="140" t="str">
        <f ca="1">TEXT(INDEX(INDIRECT(national_ptc_row),1,MATCH("p_age80plus",INDIRECT(national_ptc_cols),0)),0)</f>
        <v>29</v>
      </c>
      <c r="H24" s="101"/>
      <c r="I24" s="101"/>
    </row>
    <row r="25" spans="2:9" ht="18" customHeight="1" x14ac:dyDescent="0.35">
      <c r="B25" s="101"/>
      <c r="C25" s="101"/>
      <c r="D25" s="141" t="s">
        <v>356</v>
      </c>
      <c r="E25" s="142"/>
      <c r="F25" s="142"/>
      <c r="G25" s="144"/>
      <c r="H25" s="101"/>
      <c r="I25" s="101"/>
    </row>
    <row r="26" spans="2:9" ht="18" customHeight="1" x14ac:dyDescent="0.35">
      <c r="B26" s="101"/>
      <c r="C26" s="101"/>
      <c r="D26" s="138" t="s">
        <v>294</v>
      </c>
      <c r="E26" s="139" t="str">
        <f ca="1">TEXT(INDEX(INDIRECT(trust_ptc_table),MATCH(selected_trust_ptc,INDIRECT(trust_ptc_rows),0),MATCH("p_imdmost",INDIRECT(trust_ptc_cols),0)),0)</f>
        <v>12</v>
      </c>
      <c r="F26" s="139" t="str">
        <f ca="1">TEXT(INDEX(INDIRECT(alliance_ptc_table),MATCH(selected_trust_ptc_ca_name,INDIRECT(alliance_ptc_rows),0),MATCH("p_imdmost",INDIRECT(alliance_ptc_cols),0)),0)</f>
        <v>24</v>
      </c>
      <c r="G26" s="140" t="str">
        <f ca="1">TEXT(INDEX(INDIRECT(national_ptc_row),1,MATCH("p_imdmost",INDIRECT(national_ptc_cols),0)),0)</f>
        <v>17</v>
      </c>
      <c r="H26" s="101"/>
      <c r="I26" s="101"/>
    </row>
    <row r="27" spans="2:9" ht="18" customHeight="1" x14ac:dyDescent="0.35">
      <c r="B27" s="101"/>
      <c r="C27" s="101"/>
      <c r="D27" s="138">
        <v>2</v>
      </c>
      <c r="E27" s="139" t="str">
        <f ca="1">TEXT(INDEX(INDIRECT(trust_ptc_table),MATCH(selected_trust_ptc,INDIRECT(trust_ptc_rows),0),MATCH("p_imd2",INDIRECT(trust_ptc_cols),0)),0)</f>
        <v>14</v>
      </c>
      <c r="F27" s="139" t="str">
        <f ca="1">TEXT(INDEX(INDIRECT(alliance_ptc_table),MATCH(selected_trust_ptc_ca_name,INDIRECT(alliance_ptc_rows),0),MATCH("p_imd2",INDIRECT(alliance_ptc_cols),0)),0)</f>
        <v>17</v>
      </c>
      <c r="G27" s="140" t="str">
        <f ca="1">TEXT(INDEX(INDIRECT(national_ptc_row),1,MATCH("p_imd2",INDIRECT(national_ptc_cols),0)),0)</f>
        <v>19</v>
      </c>
      <c r="H27" s="101"/>
      <c r="I27" s="101"/>
    </row>
    <row r="28" spans="2:9" ht="18" customHeight="1" x14ac:dyDescent="0.35">
      <c r="B28" s="101"/>
      <c r="C28" s="101"/>
      <c r="D28" s="138">
        <v>3</v>
      </c>
      <c r="E28" s="139" t="str">
        <f ca="1">TEXT(INDEX(INDIRECT(trust_ptc_table),MATCH(selected_trust_ptc,INDIRECT(trust_ptc_rows),0),MATCH("p_imd3",INDIRECT(trust_ptc_cols),0)),0)</f>
        <v>21</v>
      </c>
      <c r="F28" s="139" t="str">
        <f ca="1">TEXT(INDEX(INDIRECT(alliance_ptc_table),MATCH(selected_trust_ptc_ca_name,INDIRECT(alliance_ptc_rows),0),MATCH("p_imd3",INDIRECT(alliance_ptc_cols),0)),0)</f>
        <v>22</v>
      </c>
      <c r="G28" s="140" t="str">
        <f ca="1">TEXT(INDEX(INDIRECT(national_ptc_row),1,MATCH("p_imd3",INDIRECT(national_ptc_cols),0)),0)</f>
        <v>21</v>
      </c>
      <c r="H28" s="101"/>
      <c r="I28" s="101"/>
    </row>
    <row r="29" spans="2:9" ht="18" customHeight="1" x14ac:dyDescent="0.35">
      <c r="B29" s="101"/>
      <c r="C29" s="101"/>
      <c r="D29" s="138">
        <v>4</v>
      </c>
      <c r="E29" s="139" t="str">
        <f ca="1">TEXT(INDEX(INDIRECT(trust_ptc_table),MATCH(selected_trust_ptc,INDIRECT(trust_ptc_rows),0),MATCH("p_imd4",INDIRECT(trust_ptc_cols),0)),0)</f>
        <v>27</v>
      </c>
      <c r="F29" s="139" t="str">
        <f ca="1">TEXT(INDEX(INDIRECT(alliance_ptc_table),MATCH(selected_trust_ptc_ca_name,INDIRECT(alliance_ptc_rows),0),MATCH("p_imd4",INDIRECT(alliance_ptc_cols),0)),0)</f>
        <v>20</v>
      </c>
      <c r="G29" s="140" t="str">
        <f ca="1">TEXT(INDEX(INDIRECT(national_ptc_row),1,MATCH("p_imd4",INDIRECT(national_ptc_cols),0)),0)</f>
        <v>22</v>
      </c>
      <c r="H29" s="101"/>
      <c r="I29" s="101"/>
    </row>
    <row r="30" spans="2:9" ht="18" customHeight="1" x14ac:dyDescent="0.35">
      <c r="B30" s="101"/>
      <c r="C30" s="101"/>
      <c r="D30" s="145" t="s">
        <v>295</v>
      </c>
      <c r="E30" s="146" t="str">
        <f ca="1">TEXT(INDEX(INDIRECT(trust_ptc_table),MATCH(selected_trust_ptc,INDIRECT(trust_ptc_rows),0),MATCH("p_imdleast",INDIRECT(trust_ptc_cols),0)),0)</f>
        <v>25</v>
      </c>
      <c r="F30" s="146" t="str">
        <f ca="1">TEXT(INDEX(INDIRECT(alliance_ptc_table),MATCH(selected_trust_ptc_ca_name,INDIRECT(alliance_ptc_rows),0),MATCH("p_imdleast",INDIRECT(alliance_ptc_cols),0)),0)</f>
        <v>17</v>
      </c>
      <c r="G30" s="147" t="str">
        <f ca="1">TEXT(INDEX(INDIRECT(national_ptc_row),1,MATCH("p_imdleast",INDIRECT(national_ptc_cols),0)),0)</f>
        <v>21</v>
      </c>
      <c r="H30" s="101"/>
      <c r="I30" s="101"/>
    </row>
    <row r="31" spans="2:9" ht="18" customHeight="1" x14ac:dyDescent="0.35">
      <c r="B31" s="101"/>
      <c r="C31" s="101"/>
      <c r="D31" s="160" t="s">
        <v>513</v>
      </c>
      <c r="E31" s="101"/>
      <c r="F31" s="101"/>
      <c r="G31" s="101"/>
      <c r="H31" s="101"/>
      <c r="I31" s="101"/>
    </row>
    <row r="32" spans="2:9" ht="18" customHeight="1" x14ac:dyDescent="0.35">
      <c r="B32" s="101"/>
      <c r="C32" s="101"/>
      <c r="D32" s="101"/>
      <c r="E32" s="101"/>
      <c r="F32" s="101"/>
      <c r="G32" s="101"/>
      <c r="H32" s="101"/>
      <c r="I32" s="101"/>
    </row>
    <row r="33" spans="2:9" ht="18" customHeight="1" x14ac:dyDescent="0.35">
      <c r="B33" s="101"/>
      <c r="C33" s="101"/>
      <c r="D33" s="101"/>
      <c r="E33" s="101"/>
      <c r="F33" s="101"/>
      <c r="G33" s="101"/>
      <c r="H33" s="101"/>
      <c r="I33" s="101"/>
    </row>
    <row r="34" spans="2:9" ht="18" customHeight="1" x14ac:dyDescent="0.35">
      <c r="B34" s="101"/>
      <c r="C34" s="101"/>
      <c r="D34" s="101"/>
      <c r="E34" s="101"/>
      <c r="F34" s="101"/>
      <c r="G34" s="101"/>
      <c r="H34" s="101"/>
      <c r="I34" s="101"/>
    </row>
    <row r="35" spans="2:9" ht="18" customHeight="1" x14ac:dyDescent="0.35">
      <c r="B35" s="101"/>
      <c r="C35" s="101"/>
      <c r="D35" s="101"/>
      <c r="E35" s="101"/>
      <c r="F35" s="101"/>
      <c r="G35" s="101"/>
      <c r="H35" s="101"/>
      <c r="I35" s="101"/>
    </row>
    <row r="36" spans="2:9" ht="18" customHeight="1" x14ac:dyDescent="0.35">
      <c r="B36" s="101"/>
      <c r="C36" s="101"/>
      <c r="D36" s="101"/>
      <c r="E36" s="101"/>
      <c r="F36" s="101"/>
      <c r="G36" s="101"/>
      <c r="H36" s="101"/>
      <c r="I36" s="101"/>
    </row>
    <row r="37" spans="2:9" ht="18" customHeight="1" x14ac:dyDescent="0.35">
      <c r="B37" s="101"/>
      <c r="C37" s="101"/>
      <c r="D37" s="101"/>
      <c r="E37" s="101"/>
      <c r="F37" s="101"/>
      <c r="G37" s="101"/>
      <c r="H37" s="101"/>
      <c r="I37" s="101"/>
    </row>
    <row r="38" spans="2:9" ht="18" customHeight="1" x14ac:dyDescent="0.35">
      <c r="B38" s="101"/>
      <c r="C38" s="101"/>
      <c r="D38" s="101"/>
      <c r="E38" s="101"/>
      <c r="F38" s="101"/>
      <c r="G38" s="101"/>
      <c r="H38" s="101"/>
      <c r="I38" s="101"/>
    </row>
    <row r="39" spans="2:9" ht="18" customHeight="1" x14ac:dyDescent="0.35">
      <c r="B39" s="101"/>
      <c r="C39" s="101"/>
      <c r="D39" s="101"/>
      <c r="E39" s="101"/>
      <c r="F39" s="101"/>
      <c r="G39" s="101"/>
      <c r="H39" s="101"/>
      <c r="I39" s="101"/>
    </row>
    <row r="40" spans="2:9" ht="18" customHeight="1" x14ac:dyDescent="0.35">
      <c r="B40" s="101"/>
      <c r="C40" s="101"/>
      <c r="D40" s="101"/>
      <c r="E40" s="101"/>
      <c r="F40" s="101"/>
      <c r="G40" s="101"/>
      <c r="H40" s="101"/>
      <c r="I40" s="101"/>
    </row>
    <row r="41" spans="2:9" ht="18" customHeight="1" x14ac:dyDescent="0.35">
      <c r="B41" s="101"/>
      <c r="C41" s="101"/>
      <c r="D41" s="101"/>
      <c r="E41" s="101"/>
      <c r="F41" s="101"/>
      <c r="G41" s="101"/>
      <c r="H41" s="101"/>
      <c r="I41" s="101"/>
    </row>
    <row r="42" spans="2:9" ht="18" customHeight="1" x14ac:dyDescent="0.35">
      <c r="B42" s="101"/>
      <c r="C42" s="101"/>
      <c r="D42" s="101"/>
      <c r="E42" s="101"/>
      <c r="F42" s="101"/>
      <c r="G42" s="101"/>
      <c r="H42" s="101"/>
      <c r="I42" s="101"/>
    </row>
    <row r="43" spans="2:9" ht="18" customHeight="1" x14ac:dyDescent="0.35">
      <c r="B43" s="101"/>
      <c r="C43" s="101"/>
      <c r="D43" s="101"/>
      <c r="E43" s="101"/>
      <c r="F43" s="101"/>
      <c r="G43" s="101"/>
      <c r="H43" s="101"/>
      <c r="I43" s="101"/>
    </row>
    <row r="44" spans="2:9" ht="18" customHeight="1" x14ac:dyDescent="0.35">
      <c r="B44" s="101"/>
      <c r="C44" s="101"/>
      <c r="D44" s="101"/>
      <c r="E44" s="101"/>
      <c r="F44" s="101"/>
      <c r="G44" s="101"/>
      <c r="H44" s="101"/>
      <c r="I44" s="101"/>
    </row>
    <row r="45" spans="2:9" ht="18" customHeight="1" x14ac:dyDescent="0.35">
      <c r="B45" s="101"/>
      <c r="C45" s="101"/>
      <c r="D45" s="101"/>
      <c r="E45" s="101"/>
      <c r="F45" s="101"/>
      <c r="G45" s="101"/>
      <c r="H45" s="101"/>
      <c r="I45" s="101"/>
    </row>
    <row r="46" spans="2:9" ht="18" customHeight="1" x14ac:dyDescent="0.35">
      <c r="B46" s="101"/>
      <c r="C46" s="101"/>
      <c r="D46" s="101"/>
      <c r="E46" s="101"/>
      <c r="F46" s="101"/>
      <c r="G46" s="101"/>
      <c r="H46" s="101"/>
      <c r="I46" s="101"/>
    </row>
    <row r="47" spans="2:9" ht="18" customHeight="1" x14ac:dyDescent="0.35">
      <c r="B47" s="101"/>
      <c r="C47" s="101"/>
      <c r="D47" s="101"/>
      <c r="E47" s="101"/>
      <c r="F47" s="101"/>
      <c r="G47" s="101"/>
      <c r="H47" s="101"/>
      <c r="I47" s="101"/>
    </row>
    <row r="48" spans="2:9" ht="18" customHeight="1" x14ac:dyDescent="0.35">
      <c r="B48" s="101"/>
      <c r="C48" s="101"/>
      <c r="D48" s="101"/>
      <c r="E48" s="101"/>
      <c r="F48" s="101"/>
      <c r="G48" s="101"/>
      <c r="H48" s="101"/>
      <c r="I48" s="101"/>
    </row>
    <row r="49" spans="2:9" ht="18" customHeight="1" x14ac:dyDescent="0.35">
      <c r="B49" s="101"/>
      <c r="C49" s="101"/>
      <c r="D49" s="101"/>
      <c r="E49" s="101"/>
      <c r="F49" s="101"/>
      <c r="G49" s="101"/>
      <c r="H49" s="101"/>
      <c r="I49" s="101"/>
    </row>
    <row r="50" spans="2:9" ht="18" customHeight="1" x14ac:dyDescent="0.35">
      <c r="B50" s="101"/>
      <c r="C50" s="101"/>
      <c r="D50" s="101"/>
      <c r="E50" s="101"/>
      <c r="F50" s="101"/>
      <c r="G50" s="101"/>
      <c r="H50" s="101"/>
      <c r="I50" s="101"/>
    </row>
    <row r="51" spans="2:9" ht="18" customHeight="1" x14ac:dyDescent="0.35">
      <c r="B51" s="101"/>
      <c r="C51" s="101"/>
      <c r="D51" s="101"/>
      <c r="E51" s="101"/>
      <c r="F51" s="101"/>
      <c r="G51" s="101"/>
      <c r="H51" s="101"/>
      <c r="I51" s="101"/>
    </row>
    <row r="52" spans="2:9" ht="18" customHeight="1" x14ac:dyDescent="0.35">
      <c r="B52" s="101"/>
      <c r="C52" s="101"/>
      <c r="D52" s="101"/>
      <c r="E52" s="101"/>
      <c r="F52" s="101"/>
      <c r="G52" s="101"/>
      <c r="H52" s="101"/>
      <c r="I52" s="101"/>
    </row>
    <row r="53" spans="2:9" ht="18" customHeight="1" x14ac:dyDescent="0.35">
      <c r="B53" s="101"/>
      <c r="C53" s="101"/>
      <c r="D53" s="101"/>
      <c r="E53" s="101"/>
      <c r="F53" s="101"/>
      <c r="G53" s="101"/>
      <c r="H53" s="101"/>
      <c r="I53" s="101"/>
    </row>
    <row r="54" spans="2:9" ht="18" customHeight="1" x14ac:dyDescent="0.35">
      <c r="B54" s="101"/>
      <c r="C54" s="101"/>
      <c r="D54" s="101"/>
      <c r="E54" s="101"/>
      <c r="F54" s="101"/>
      <c r="G54" s="101"/>
      <c r="H54" s="101"/>
      <c r="I54" s="101"/>
    </row>
    <row r="55" spans="2:9" ht="18" customHeight="1" x14ac:dyDescent="0.35">
      <c r="B55" s="101"/>
      <c r="C55" s="101"/>
      <c r="D55" s="101"/>
      <c r="E55" s="101"/>
      <c r="F55" s="101"/>
      <c r="G55" s="101"/>
      <c r="H55" s="101"/>
      <c r="I55" s="101"/>
    </row>
    <row r="56" spans="2:9" ht="18" customHeight="1" x14ac:dyDescent="0.35">
      <c r="B56" s="101"/>
      <c r="C56" s="101"/>
      <c r="D56" s="101"/>
      <c r="E56" s="101"/>
      <c r="F56" s="101"/>
      <c r="G56" s="101"/>
      <c r="H56" s="101"/>
      <c r="I56" s="101"/>
    </row>
    <row r="57" spans="2:9" ht="18" customHeight="1" x14ac:dyDescent="0.35">
      <c r="B57" s="101"/>
      <c r="C57" s="101"/>
      <c r="D57" s="101"/>
      <c r="E57" s="101"/>
      <c r="F57" s="101"/>
      <c r="G57" s="101"/>
      <c r="H57" s="101"/>
      <c r="I57" s="101"/>
    </row>
    <row r="58" spans="2:9" ht="18" customHeight="1" x14ac:dyDescent="0.35">
      <c r="B58" s="101"/>
      <c r="C58" s="101"/>
      <c r="D58" s="101"/>
      <c r="E58" s="101"/>
      <c r="F58" s="101"/>
      <c r="G58" s="101"/>
      <c r="H58" s="101"/>
      <c r="I58" s="101"/>
    </row>
    <row r="59" spans="2:9" ht="18" customHeight="1" x14ac:dyDescent="0.35">
      <c r="B59" s="101"/>
      <c r="C59" s="101"/>
      <c r="D59" s="101"/>
      <c r="E59" s="101"/>
      <c r="F59" s="101"/>
      <c r="G59" s="101"/>
      <c r="H59" s="101"/>
      <c r="I59" s="101"/>
    </row>
    <row r="60" spans="2:9" ht="18" customHeight="1" x14ac:dyDescent="0.35">
      <c r="B60" s="101"/>
      <c r="C60" s="101"/>
      <c r="D60" s="101"/>
      <c r="E60" s="101"/>
      <c r="F60" s="101"/>
      <c r="G60" s="101"/>
      <c r="H60" s="101"/>
      <c r="I60" s="101"/>
    </row>
    <row r="61" spans="2:9" ht="18" customHeight="1" x14ac:dyDescent="0.35">
      <c r="B61" s="101"/>
      <c r="C61" s="101"/>
      <c r="D61" s="101"/>
      <c r="E61" s="101"/>
      <c r="F61" s="101"/>
      <c r="G61" s="101"/>
      <c r="H61" s="101"/>
      <c r="I61" s="101"/>
    </row>
    <row r="62" spans="2:9" ht="18" customHeight="1" x14ac:dyDescent="0.35">
      <c r="B62" s="101"/>
      <c r="C62" s="101"/>
      <c r="D62" s="101"/>
      <c r="E62" s="101"/>
      <c r="F62" s="101"/>
      <c r="G62" s="101"/>
      <c r="H62" s="101"/>
      <c r="I62" s="101"/>
    </row>
    <row r="63" spans="2:9" ht="18" customHeight="1" x14ac:dyDescent="0.35">
      <c r="B63" s="101"/>
      <c r="C63" s="101"/>
      <c r="D63" s="101"/>
      <c r="E63" s="101"/>
      <c r="F63" s="101"/>
      <c r="G63" s="101"/>
      <c r="H63" s="101"/>
      <c r="I63" s="101"/>
    </row>
    <row r="64" spans="2:9" ht="18" customHeight="1" x14ac:dyDescent="0.35">
      <c r="B64" s="101"/>
      <c r="C64" s="101"/>
      <c r="D64" s="101"/>
      <c r="E64" s="101"/>
      <c r="F64" s="101"/>
      <c r="G64" s="101"/>
      <c r="H64" s="101"/>
      <c r="I64" s="101"/>
    </row>
    <row r="65" spans="2:9" ht="18" customHeight="1" x14ac:dyDescent="0.35">
      <c r="B65" s="101"/>
      <c r="C65" s="101"/>
      <c r="D65" s="101"/>
      <c r="E65" s="101"/>
      <c r="F65" s="101"/>
      <c r="G65" s="101"/>
      <c r="H65" s="101"/>
      <c r="I65" s="101"/>
    </row>
    <row r="66" spans="2:9" ht="18" customHeight="1" x14ac:dyDescent="0.35">
      <c r="B66" s="101"/>
      <c r="C66" s="101"/>
      <c r="D66" s="101"/>
      <c r="E66" s="101"/>
      <c r="F66" s="101"/>
      <c r="G66" s="101"/>
      <c r="H66" s="101"/>
      <c r="I66" s="101"/>
    </row>
    <row r="67" spans="2:9" ht="18" customHeight="1" x14ac:dyDescent="0.35">
      <c r="B67" s="101"/>
      <c r="C67" s="101"/>
      <c r="D67" s="101"/>
      <c r="E67" s="101"/>
      <c r="F67" s="101"/>
      <c r="G67" s="101"/>
      <c r="H67" s="101"/>
      <c r="I67" s="101"/>
    </row>
    <row r="68" spans="2:9" ht="18" customHeight="1" x14ac:dyDescent="0.35">
      <c r="B68" s="101"/>
      <c r="C68" s="101"/>
      <c r="D68" s="101"/>
      <c r="E68" s="101"/>
      <c r="F68" s="101"/>
      <c r="G68" s="101"/>
      <c r="H68" s="101"/>
      <c r="I68" s="101"/>
    </row>
    <row r="69" spans="2:9" ht="18" customHeight="1" x14ac:dyDescent="0.35">
      <c r="B69" s="101"/>
      <c r="C69" s="101"/>
      <c r="D69" s="101"/>
      <c r="E69" s="101"/>
      <c r="F69" s="101"/>
      <c r="G69" s="101"/>
      <c r="H69" s="101"/>
      <c r="I69" s="101"/>
    </row>
    <row r="70" spans="2:9" ht="18" customHeight="1" x14ac:dyDescent="0.35">
      <c r="B70" s="101"/>
      <c r="C70" s="101"/>
      <c r="D70" s="101"/>
      <c r="E70" s="101"/>
      <c r="F70" s="101"/>
      <c r="G70" s="101"/>
      <c r="H70" s="101"/>
      <c r="I70" s="101"/>
    </row>
    <row r="71" spans="2:9" ht="18" customHeight="1" x14ac:dyDescent="0.35">
      <c r="B71" s="101"/>
      <c r="C71" s="101"/>
      <c r="D71" s="101"/>
      <c r="E71" s="101"/>
      <c r="F71" s="101"/>
      <c r="G71" s="101"/>
      <c r="H71" s="101"/>
      <c r="I71" s="101"/>
    </row>
    <row r="72" spans="2:9" ht="18" customHeight="1" x14ac:dyDescent="0.35">
      <c r="B72" s="101"/>
      <c r="C72" s="101"/>
      <c r="D72" s="101"/>
      <c r="E72" s="101"/>
      <c r="F72" s="101"/>
      <c r="G72" s="101"/>
      <c r="H72" s="101"/>
      <c r="I72" s="101"/>
    </row>
    <row r="73" spans="2:9" ht="18" customHeight="1" x14ac:dyDescent="0.35">
      <c r="B73" s="101"/>
      <c r="C73" s="101"/>
      <c r="D73" s="101"/>
      <c r="E73" s="101"/>
      <c r="F73" s="101"/>
      <c r="G73" s="101"/>
      <c r="H73" s="101"/>
      <c r="I73" s="101"/>
    </row>
    <row r="74" spans="2:9" ht="18" customHeight="1" x14ac:dyDescent="0.35">
      <c r="B74" s="101"/>
      <c r="C74" s="101"/>
      <c r="D74" s="101"/>
      <c r="E74" s="101"/>
      <c r="F74" s="101"/>
      <c r="G74" s="101"/>
      <c r="H74" s="101"/>
      <c r="I74" s="101"/>
    </row>
    <row r="75" spans="2:9" ht="18" customHeight="1" x14ac:dyDescent="0.35">
      <c r="B75" s="101"/>
      <c r="C75" s="101"/>
      <c r="D75" s="101"/>
      <c r="E75" s="101"/>
      <c r="F75" s="101"/>
      <c r="G75" s="101"/>
      <c r="H75" s="101"/>
      <c r="I75" s="101"/>
    </row>
    <row r="76" spans="2:9" ht="18" customHeight="1" x14ac:dyDescent="0.35">
      <c r="B76" s="101"/>
      <c r="C76" s="101"/>
      <c r="D76" s="101"/>
      <c r="E76" s="101"/>
      <c r="F76" s="101"/>
      <c r="G76" s="101"/>
      <c r="H76" s="101"/>
      <c r="I76" s="101"/>
    </row>
    <row r="77" spans="2:9" ht="18" customHeight="1" x14ac:dyDescent="0.35">
      <c r="B77" s="101"/>
      <c r="C77" s="101"/>
      <c r="D77" s="101"/>
      <c r="E77" s="101"/>
      <c r="F77" s="101"/>
      <c r="G77" s="101"/>
      <c r="H77" s="101"/>
      <c r="I77" s="101"/>
    </row>
    <row r="78" spans="2:9" ht="18" customHeight="1" x14ac:dyDescent="0.35">
      <c r="B78" s="101"/>
      <c r="C78" s="101"/>
      <c r="D78" s="101"/>
      <c r="E78" s="101"/>
      <c r="F78" s="101"/>
      <c r="G78" s="101"/>
      <c r="H78" s="101"/>
      <c r="I78" s="101"/>
    </row>
    <row r="79" spans="2:9" ht="18" customHeight="1" x14ac:dyDescent="0.35">
      <c r="B79" s="101"/>
      <c r="C79" s="101"/>
      <c r="D79" s="101"/>
      <c r="E79" s="101"/>
      <c r="F79" s="101"/>
      <c r="G79" s="101"/>
      <c r="H79" s="101"/>
      <c r="I79" s="101"/>
    </row>
    <row r="80" spans="2:9" ht="18" customHeight="1" x14ac:dyDescent="0.35">
      <c r="B80" s="101"/>
      <c r="C80" s="101"/>
      <c r="D80" s="101"/>
      <c r="E80" s="101"/>
      <c r="F80" s="101"/>
      <c r="G80" s="101"/>
      <c r="H80" s="101"/>
      <c r="I80" s="101"/>
    </row>
    <row r="81" spans="2:9" ht="18" customHeight="1" x14ac:dyDescent="0.35">
      <c r="B81" s="101"/>
      <c r="C81" s="101"/>
      <c r="D81" s="101"/>
      <c r="E81" s="101"/>
      <c r="F81" s="101"/>
      <c r="G81" s="101"/>
      <c r="H81" s="101"/>
      <c r="I81" s="101"/>
    </row>
    <row r="82" spans="2:9" ht="18" x14ac:dyDescent="0.35">
      <c r="B82" s="101"/>
      <c r="C82" s="101"/>
      <c r="D82" s="101"/>
      <c r="E82" s="101"/>
      <c r="F82" s="101"/>
      <c r="G82" s="101"/>
      <c r="H82" s="101"/>
      <c r="I82" s="101"/>
    </row>
    <row r="83" spans="2:9" ht="18" x14ac:dyDescent="0.35">
      <c r="B83" s="101"/>
      <c r="C83" s="101"/>
      <c r="D83" s="101"/>
      <c r="E83" s="101"/>
      <c r="F83" s="101"/>
      <c r="G83" s="101"/>
      <c r="H83" s="101"/>
      <c r="I83" s="101"/>
    </row>
    <row r="84" spans="2:9" ht="18" x14ac:dyDescent="0.35">
      <c r="B84" s="101"/>
      <c r="C84" s="101"/>
      <c r="D84" s="101"/>
      <c r="E84" s="101"/>
      <c r="F84" s="101"/>
      <c r="G84" s="101"/>
      <c r="H84" s="101"/>
      <c r="I84" s="101"/>
    </row>
    <row r="85" spans="2:9" ht="18" x14ac:dyDescent="0.35">
      <c r="B85" s="101"/>
      <c r="C85" s="101"/>
      <c r="D85" s="101"/>
      <c r="E85" s="101"/>
      <c r="F85" s="101"/>
      <c r="G85" s="101"/>
      <c r="H85" s="101"/>
      <c r="I85" s="101"/>
    </row>
    <row r="86" spans="2:9" ht="18" x14ac:dyDescent="0.35">
      <c r="B86" s="101"/>
      <c r="C86" s="101"/>
      <c r="D86" s="101"/>
      <c r="E86" s="101"/>
      <c r="F86" s="101"/>
      <c r="G86" s="101"/>
      <c r="H86" s="101"/>
      <c r="I86" s="101"/>
    </row>
    <row r="87" spans="2:9" ht="18" x14ac:dyDescent="0.35">
      <c r="B87" s="101"/>
      <c r="C87" s="101"/>
      <c r="D87" s="101"/>
      <c r="E87" s="101"/>
      <c r="F87" s="101"/>
      <c r="G87" s="101"/>
      <c r="H87" s="101"/>
      <c r="I87" s="101"/>
    </row>
    <row r="88" spans="2:9" ht="18" x14ac:dyDescent="0.35">
      <c r="B88" s="101"/>
      <c r="C88" s="101"/>
      <c r="D88" s="101"/>
      <c r="E88" s="101"/>
      <c r="F88" s="101"/>
      <c r="G88" s="101"/>
      <c r="H88" s="101"/>
      <c r="I88" s="101"/>
    </row>
    <row r="89" spans="2:9" ht="18" x14ac:dyDescent="0.35">
      <c r="B89" s="101"/>
      <c r="C89" s="101"/>
      <c r="D89" s="101"/>
      <c r="E89" s="101"/>
      <c r="F89" s="101"/>
      <c r="G89" s="101"/>
      <c r="H89" s="101"/>
      <c r="I89" s="101"/>
    </row>
    <row r="90" spans="2:9" ht="18" x14ac:dyDescent="0.35">
      <c r="B90" s="101"/>
      <c r="C90" s="101"/>
      <c r="D90" s="101"/>
      <c r="E90" s="101"/>
      <c r="F90" s="101"/>
      <c r="G90" s="101"/>
      <c r="H90" s="101"/>
      <c r="I90" s="101"/>
    </row>
    <row r="91" spans="2:9" ht="18" x14ac:dyDescent="0.35">
      <c r="B91" s="101"/>
      <c r="C91" s="101"/>
      <c r="D91" s="101"/>
      <c r="E91" s="101"/>
      <c r="F91" s="101"/>
      <c r="G91" s="101"/>
      <c r="H91" s="101"/>
      <c r="I91" s="101"/>
    </row>
    <row r="92" spans="2:9" ht="18" x14ac:dyDescent="0.35">
      <c r="B92" s="101"/>
      <c r="C92" s="101"/>
      <c r="D92" s="101"/>
      <c r="E92" s="101"/>
      <c r="F92" s="101"/>
      <c r="G92" s="101"/>
      <c r="H92" s="101"/>
      <c r="I92" s="101"/>
    </row>
    <row r="93" spans="2:9" ht="18" x14ac:dyDescent="0.35">
      <c r="B93" s="101"/>
      <c r="C93" s="101"/>
      <c r="D93" s="101"/>
      <c r="E93" s="101"/>
      <c r="F93" s="101"/>
      <c r="G93" s="101"/>
      <c r="H93" s="101"/>
      <c r="I93" s="101"/>
    </row>
    <row r="94" spans="2:9" ht="18" x14ac:dyDescent="0.35">
      <c r="B94" s="101"/>
      <c r="C94" s="101"/>
      <c r="D94" s="101"/>
      <c r="E94" s="101"/>
      <c r="F94" s="101"/>
      <c r="G94" s="101"/>
      <c r="H94" s="101"/>
      <c r="I94" s="101"/>
    </row>
    <row r="95" spans="2:9" ht="18" x14ac:dyDescent="0.35">
      <c r="B95" s="101"/>
      <c r="C95" s="101"/>
      <c r="D95" s="101"/>
      <c r="E95" s="101"/>
      <c r="F95" s="101"/>
      <c r="G95" s="101"/>
      <c r="H95" s="101"/>
      <c r="I95" s="101"/>
    </row>
    <row r="96" spans="2:9" ht="18" x14ac:dyDescent="0.35">
      <c r="B96" s="101"/>
      <c r="C96" s="101"/>
      <c r="D96" s="101"/>
      <c r="E96" s="101"/>
      <c r="F96" s="101"/>
      <c r="G96" s="101"/>
      <c r="H96" s="101"/>
      <c r="I96" s="101"/>
    </row>
    <row r="97" spans="2:9" ht="18" x14ac:dyDescent="0.35">
      <c r="B97" s="101"/>
      <c r="C97" s="101"/>
      <c r="D97" s="101"/>
      <c r="E97" s="101"/>
      <c r="F97" s="101"/>
      <c r="G97" s="101"/>
      <c r="H97" s="101"/>
      <c r="I97" s="101"/>
    </row>
    <row r="98" spans="2:9" ht="18" x14ac:dyDescent="0.35">
      <c r="B98" s="101"/>
      <c r="C98" s="101"/>
      <c r="D98" s="101"/>
      <c r="E98" s="101"/>
      <c r="F98" s="101"/>
      <c r="G98" s="101"/>
      <c r="H98" s="101"/>
      <c r="I98" s="101"/>
    </row>
    <row r="99" spans="2:9" ht="18" x14ac:dyDescent="0.35">
      <c r="B99" s="101"/>
      <c r="C99" s="101"/>
      <c r="D99" s="101"/>
      <c r="E99" s="101"/>
      <c r="F99" s="101"/>
      <c r="G99" s="101"/>
      <c r="H99" s="101"/>
      <c r="I99" s="101"/>
    </row>
    <row r="100" spans="2:9" ht="18" x14ac:dyDescent="0.35">
      <c r="B100" s="101"/>
      <c r="C100" s="101"/>
      <c r="D100" s="101"/>
      <c r="E100" s="101"/>
      <c r="F100" s="101"/>
      <c r="G100" s="101"/>
      <c r="H100" s="101"/>
      <c r="I100" s="101"/>
    </row>
    <row r="101" spans="2:9" ht="18" x14ac:dyDescent="0.35">
      <c r="B101" s="101"/>
      <c r="C101" s="101"/>
      <c r="D101" s="101"/>
      <c r="E101" s="101"/>
      <c r="F101" s="101"/>
      <c r="G101" s="101"/>
      <c r="H101" s="101"/>
      <c r="I101" s="101"/>
    </row>
    <row r="102" spans="2:9" ht="18" x14ac:dyDescent="0.35">
      <c r="B102" s="101"/>
      <c r="C102" s="101"/>
      <c r="D102" s="101"/>
      <c r="E102" s="101"/>
      <c r="F102" s="101"/>
      <c r="G102" s="101"/>
      <c r="H102" s="101"/>
      <c r="I102" s="101"/>
    </row>
    <row r="103" spans="2:9" ht="18" x14ac:dyDescent="0.35">
      <c r="B103" s="101"/>
      <c r="C103" s="101"/>
      <c r="D103" s="101"/>
      <c r="E103" s="101"/>
      <c r="F103" s="101"/>
      <c r="G103" s="101"/>
      <c r="H103" s="101"/>
      <c r="I103" s="101"/>
    </row>
    <row r="104" spans="2:9" ht="18" x14ac:dyDescent="0.35">
      <c r="B104" s="101"/>
      <c r="C104" s="101"/>
      <c r="D104" s="101"/>
      <c r="E104" s="101"/>
      <c r="F104" s="101"/>
      <c r="G104" s="101"/>
      <c r="H104" s="101"/>
      <c r="I104" s="101"/>
    </row>
    <row r="105" spans="2:9" ht="18" x14ac:dyDescent="0.35">
      <c r="B105" s="101"/>
      <c r="C105" s="101"/>
      <c r="D105" s="101"/>
      <c r="E105" s="101"/>
      <c r="F105" s="101"/>
      <c r="G105" s="101"/>
      <c r="H105" s="101"/>
      <c r="I105" s="101"/>
    </row>
    <row r="106" spans="2:9" ht="18" x14ac:dyDescent="0.35">
      <c r="B106" s="101"/>
      <c r="C106" s="101"/>
      <c r="D106" s="101"/>
      <c r="E106" s="101"/>
      <c r="F106" s="101"/>
      <c r="G106" s="101"/>
      <c r="H106" s="101"/>
      <c r="I106" s="101"/>
    </row>
    <row r="107" spans="2:9" ht="18" x14ac:dyDescent="0.35">
      <c r="B107" s="101"/>
      <c r="C107" s="101"/>
      <c r="D107" s="101"/>
      <c r="E107" s="101"/>
      <c r="F107" s="101"/>
      <c r="G107" s="101"/>
      <c r="H107" s="101"/>
      <c r="I107" s="101"/>
    </row>
    <row r="108" spans="2:9" ht="18" x14ac:dyDescent="0.35">
      <c r="B108" s="101"/>
      <c r="C108" s="101"/>
      <c r="D108" s="101"/>
      <c r="E108" s="101"/>
      <c r="F108" s="101"/>
      <c r="G108" s="101"/>
      <c r="H108" s="101"/>
      <c r="I108" s="101"/>
    </row>
    <row r="109" spans="2:9" ht="18" x14ac:dyDescent="0.35">
      <c r="B109" s="101"/>
      <c r="C109" s="101"/>
      <c r="D109" s="101"/>
      <c r="E109" s="101"/>
      <c r="F109" s="101"/>
      <c r="G109" s="101"/>
      <c r="H109" s="101"/>
      <c r="I109" s="101"/>
    </row>
    <row r="110" spans="2:9" ht="18" x14ac:dyDescent="0.35">
      <c r="B110" s="101"/>
      <c r="C110" s="101"/>
      <c r="D110" s="101"/>
      <c r="E110" s="101"/>
      <c r="F110" s="101"/>
      <c r="G110" s="101"/>
      <c r="H110" s="101"/>
      <c r="I110" s="101"/>
    </row>
    <row r="111" spans="2:9" ht="18" x14ac:dyDescent="0.35">
      <c r="B111" s="101"/>
      <c r="C111" s="101"/>
      <c r="D111" s="101"/>
      <c r="E111" s="101"/>
      <c r="F111" s="101"/>
      <c r="G111" s="101"/>
      <c r="H111" s="101"/>
      <c r="I111" s="101"/>
    </row>
    <row r="112" spans="2:9" ht="18" x14ac:dyDescent="0.35">
      <c r="B112" s="101"/>
      <c r="C112" s="101"/>
      <c r="D112" s="101"/>
      <c r="E112" s="101"/>
      <c r="F112" s="101"/>
      <c r="G112" s="101"/>
      <c r="H112" s="101"/>
      <c r="I112" s="101"/>
    </row>
    <row r="113" spans="2:9" ht="18" x14ac:dyDescent="0.35">
      <c r="B113" s="101"/>
      <c r="C113" s="101"/>
      <c r="D113" s="101"/>
      <c r="E113" s="101"/>
      <c r="F113" s="101"/>
      <c r="G113" s="101"/>
      <c r="H113" s="101"/>
      <c r="I113" s="101"/>
    </row>
    <row r="114" spans="2:9" ht="18" x14ac:dyDescent="0.35">
      <c r="B114" s="101"/>
      <c r="C114" s="101"/>
      <c r="D114" s="101"/>
      <c r="E114" s="101"/>
      <c r="F114" s="101"/>
      <c r="G114" s="101"/>
      <c r="H114" s="101"/>
      <c r="I114" s="101"/>
    </row>
    <row r="115" spans="2:9" ht="18" x14ac:dyDescent="0.35">
      <c r="B115" s="101"/>
      <c r="C115" s="101"/>
      <c r="D115" s="101"/>
      <c r="E115" s="101"/>
      <c r="F115" s="101"/>
      <c r="G115" s="101"/>
      <c r="H115" s="101"/>
      <c r="I115" s="101"/>
    </row>
    <row r="116" spans="2:9" ht="18" x14ac:dyDescent="0.35">
      <c r="B116" s="101"/>
      <c r="C116" s="101"/>
      <c r="D116" s="101"/>
      <c r="E116" s="101"/>
      <c r="F116" s="101"/>
      <c r="G116" s="101"/>
      <c r="H116" s="101"/>
      <c r="I116" s="101"/>
    </row>
    <row r="117" spans="2:9" ht="18" x14ac:dyDescent="0.35">
      <c r="B117" s="101"/>
      <c r="C117" s="101"/>
      <c r="D117" s="101"/>
      <c r="E117" s="101"/>
      <c r="F117" s="101"/>
      <c r="G117" s="101"/>
      <c r="H117" s="101"/>
      <c r="I117" s="101"/>
    </row>
    <row r="118" spans="2:9" ht="18" x14ac:dyDescent="0.35">
      <c r="B118" s="101"/>
      <c r="C118" s="101"/>
      <c r="D118" s="101"/>
      <c r="E118" s="101"/>
      <c r="F118" s="101"/>
      <c r="G118" s="101"/>
      <c r="H118" s="101"/>
      <c r="I118" s="101"/>
    </row>
    <row r="119" spans="2:9" ht="18" x14ac:dyDescent="0.35">
      <c r="B119" s="101"/>
      <c r="C119" s="101"/>
      <c r="D119" s="101"/>
      <c r="E119" s="101"/>
      <c r="F119" s="101"/>
      <c r="G119" s="101"/>
      <c r="H119" s="101"/>
      <c r="I119" s="101"/>
    </row>
    <row r="120" spans="2:9" ht="18" x14ac:dyDescent="0.35">
      <c r="B120" s="101"/>
      <c r="C120" s="101"/>
      <c r="D120" s="101"/>
      <c r="E120" s="101"/>
      <c r="F120" s="101"/>
      <c r="G120" s="101"/>
      <c r="H120" s="101"/>
      <c r="I120" s="101"/>
    </row>
    <row r="121" spans="2:9" ht="18" x14ac:dyDescent="0.35">
      <c r="B121" s="101"/>
      <c r="C121" s="101"/>
      <c r="D121" s="101"/>
      <c r="E121" s="101"/>
      <c r="F121" s="101"/>
      <c r="G121" s="101"/>
      <c r="H121" s="101"/>
      <c r="I121" s="101"/>
    </row>
    <row r="122" spans="2:9" ht="18" x14ac:dyDescent="0.35">
      <c r="B122" s="101"/>
      <c r="C122" s="101"/>
      <c r="D122" s="101"/>
      <c r="E122" s="101"/>
      <c r="F122" s="101"/>
      <c r="G122" s="101"/>
      <c r="H122" s="101"/>
      <c r="I122" s="101"/>
    </row>
    <row r="123" spans="2:9" ht="18" x14ac:dyDescent="0.35">
      <c r="B123" s="101"/>
      <c r="C123" s="101"/>
      <c r="D123" s="101"/>
      <c r="E123" s="101"/>
      <c r="F123" s="101"/>
      <c r="G123" s="101"/>
      <c r="H123" s="101"/>
      <c r="I123" s="101"/>
    </row>
    <row r="124" spans="2:9" ht="18" x14ac:dyDescent="0.35">
      <c r="B124" s="101"/>
      <c r="C124" s="101"/>
      <c r="D124" s="101"/>
      <c r="E124" s="101"/>
      <c r="F124" s="101"/>
      <c r="G124" s="101"/>
      <c r="H124" s="101"/>
      <c r="I124" s="101"/>
    </row>
  </sheetData>
  <mergeCells count="2">
    <mergeCell ref="D9:G9"/>
    <mergeCell ref="D15:D16"/>
  </mergeCells>
  <pageMargins left="0.70866141732283472" right="0.70866141732283472" top="0.74803149606299213" bottom="0.74803149606299213" header="0.31496062992125984" footer="0.31496062992125984"/>
  <pageSetup paperSize="9"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Lists!$A$63:$A$184</xm:f>
          </x14:formula1>
          <xm:sqref>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pageSetUpPr autoPageBreaks="0"/>
  </sheetPr>
  <dimension ref="A2:U31"/>
  <sheetViews>
    <sheetView showGridLines="0" workbookViewId="0">
      <selection activeCell="D22" sqref="D22"/>
    </sheetView>
  </sheetViews>
  <sheetFormatPr defaultRowHeight="14.4" x14ac:dyDescent="0.3"/>
  <cols>
    <col min="1" max="1" width="10.109375" bestFit="1" customWidth="1"/>
    <col min="2" max="2" width="46.6640625" customWidth="1"/>
    <col min="3" max="3" width="32.6640625" customWidth="1"/>
    <col min="4" max="4" width="29.109375" bestFit="1" customWidth="1"/>
    <col min="5" max="5" width="28" customWidth="1"/>
    <col min="6" max="6" width="24.6640625" customWidth="1"/>
    <col min="7" max="7" width="22.44140625" bestFit="1" customWidth="1"/>
    <col min="8" max="8" width="26" bestFit="1" customWidth="1"/>
    <col min="9" max="10" width="22.6640625" bestFit="1" customWidth="1"/>
  </cols>
  <sheetData>
    <row r="2" spans="1:6" x14ac:dyDescent="0.3">
      <c r="B2" t="s">
        <v>264</v>
      </c>
    </row>
    <row r="4" spans="1:6" x14ac:dyDescent="0.3">
      <c r="B4" t="s">
        <v>352</v>
      </c>
    </row>
    <row r="6" spans="1:6" x14ac:dyDescent="0.3">
      <c r="B6" t="s">
        <v>366</v>
      </c>
    </row>
    <row r="7" spans="1:6" x14ac:dyDescent="0.3">
      <c r="A7" t="s">
        <v>267</v>
      </c>
      <c r="B7" s="10" t="s">
        <v>342</v>
      </c>
      <c r="C7" s="10" t="s">
        <v>343</v>
      </c>
      <c r="D7" s="11" t="s">
        <v>344</v>
      </c>
      <c r="E7" s="10" t="s">
        <v>345</v>
      </c>
      <c r="F7" s="10" t="s">
        <v>266</v>
      </c>
    </row>
    <row r="8" spans="1:6" x14ac:dyDescent="0.3">
      <c r="A8" t="s">
        <v>268</v>
      </c>
      <c r="B8" s="8" t="str">
        <f>'Data quality dashboard'!D9</f>
        <v>Airedale NHS Foundation Trust</v>
      </c>
      <c r="C8" s="8" t="str">
        <f ca="1">VLOOKUP(selected_trust_xc,INDIRECT(table_trust_ca_assoc),2)</f>
        <v>RCF</v>
      </c>
      <c r="D8" s="9" t="str">
        <f ca="1">VLOOKUP(selected_trust_xc,INDIRECT(table_trust_ca_assoc),3)</f>
        <v>West Yorkshire and Harrogate</v>
      </c>
      <c r="E8" s="8" t="str">
        <f ca="1">VLOOKUP(selected_trust_xc,INDIRECT(table_trust_ca_assoc),4)</f>
        <v>A19</v>
      </c>
      <c r="F8" s="8">
        <f ca="1">VLOOKUP(selected_trust_xc_ca_name,INDIRECT(trusts_per_CA),2)</f>
        <v>6</v>
      </c>
    </row>
    <row r="9" spans="1:6" x14ac:dyDescent="0.3">
      <c r="D9" s="2"/>
    </row>
    <row r="10" spans="1:6" x14ac:dyDescent="0.3">
      <c r="B10" t="s">
        <v>367</v>
      </c>
      <c r="F10" s="2"/>
    </row>
    <row r="11" spans="1:6" x14ac:dyDescent="0.3">
      <c r="A11" t="s">
        <v>267</v>
      </c>
      <c r="B11" s="10" t="s">
        <v>341</v>
      </c>
      <c r="C11" s="10" t="s">
        <v>346</v>
      </c>
      <c r="D11" s="11" t="s">
        <v>347</v>
      </c>
      <c r="E11" s="10" t="s">
        <v>348</v>
      </c>
      <c r="F11" s="2"/>
    </row>
    <row r="12" spans="1:6" x14ac:dyDescent="0.3">
      <c r="A12" t="s">
        <v>268</v>
      </c>
      <c r="B12" s="8" t="e">
        <f>#REF!</f>
        <v>#REF!</v>
      </c>
      <c r="C12" s="8" t="e">
        <f ca="1">VLOOKUP(selected_trust_l,INDIRECT(table_trust_ca_assoc),2)</f>
        <v>#REF!</v>
      </c>
      <c r="D12" s="9" t="e">
        <f ca="1">VLOOKUP(selected_trust_l,INDIRECT(table_trust_ca_assoc),3)</f>
        <v>#REF!</v>
      </c>
      <c r="E12" s="8" t="e">
        <f ca="1">VLOOKUP(selected_trust_l,INDIRECT(table_trust_ca_assoc),4)</f>
        <v>#REF!</v>
      </c>
      <c r="F12" s="2"/>
    </row>
    <row r="13" spans="1:6" x14ac:dyDescent="0.3">
      <c r="D13" s="2"/>
      <c r="F13" s="2"/>
    </row>
    <row r="14" spans="1:6" x14ac:dyDescent="0.3">
      <c r="B14" t="s">
        <v>368</v>
      </c>
      <c r="F14" s="2"/>
    </row>
    <row r="15" spans="1:6" x14ac:dyDescent="0.3">
      <c r="A15" t="s">
        <v>267</v>
      </c>
      <c r="B15" s="10" t="s">
        <v>340</v>
      </c>
      <c r="C15" s="10" t="s">
        <v>349</v>
      </c>
      <c r="D15" s="11" t="s">
        <v>350</v>
      </c>
      <c r="E15" s="10" t="s">
        <v>351</v>
      </c>
      <c r="F15" s="2"/>
    </row>
    <row r="16" spans="1:6" x14ac:dyDescent="0.3">
      <c r="A16" t="s">
        <v>268</v>
      </c>
      <c r="B16" s="8" t="str">
        <f>'Patient characteristics'!D9</f>
        <v>Airedale NHS Foundation Trust</v>
      </c>
      <c r="C16" s="8" t="str">
        <f ca="1">VLOOKUP(selected_trust_ptc,INDIRECT(table_trust_ca_assoc),2)</f>
        <v>RCF</v>
      </c>
      <c r="D16" s="9" t="str">
        <f ca="1">VLOOKUP(selected_trust_ptc,INDIRECT(table_trust_ca_assoc),3)</f>
        <v>West Yorkshire and Harrogate</v>
      </c>
      <c r="E16" s="8" t="str">
        <f ca="1">VLOOKUP(selected_trust_ptc,INDIRECT(table_trust_ca_assoc),4)</f>
        <v>A19</v>
      </c>
      <c r="F16" s="2"/>
    </row>
    <row r="17" spans="1:21" x14ac:dyDescent="0.3">
      <c r="F17" s="2"/>
    </row>
    <row r="18" spans="1:21" x14ac:dyDescent="0.3">
      <c r="B18" t="s">
        <v>282</v>
      </c>
      <c r="C18" s="2"/>
    </row>
    <row r="19" spans="1:21" x14ac:dyDescent="0.3">
      <c r="C19" s="2"/>
    </row>
    <row r="20" spans="1:21" x14ac:dyDescent="0.3">
      <c r="B20" t="s">
        <v>366</v>
      </c>
    </row>
    <row r="21" spans="1:21" x14ac:dyDescent="0.3">
      <c r="A21" t="s">
        <v>267</v>
      </c>
      <c r="B21" s="10" t="s">
        <v>358</v>
      </c>
      <c r="C21" s="11" t="s">
        <v>359</v>
      </c>
      <c r="D21" s="10" t="s">
        <v>360</v>
      </c>
      <c r="E21" s="10" t="s">
        <v>361</v>
      </c>
      <c r="F21" s="10" t="s">
        <v>382</v>
      </c>
      <c r="G21" s="10" t="s">
        <v>385</v>
      </c>
      <c r="H21" s="10" t="s">
        <v>383</v>
      </c>
      <c r="I21" s="10" t="s">
        <v>384</v>
      </c>
      <c r="J21" s="10" t="s">
        <v>386</v>
      </c>
      <c r="L21" s="1"/>
      <c r="O21" s="35"/>
      <c r="R21" s="32"/>
      <c r="U21" s="1">
        <f>Lists!M42</f>
        <v>0</v>
      </c>
    </row>
    <row r="22" spans="1:21" x14ac:dyDescent="0.3">
      <c r="A22" t="s">
        <v>268</v>
      </c>
      <c r="B22" s="9" t="str">
        <f>'Data quality dashboard'!D15</f>
        <v>Data completeness for Morphology (for diagnoses with histology or cytology as basis of diagnosis)</v>
      </c>
      <c r="C22" s="9" t="str">
        <f ca="1">INDEX(INDIRECT(dq_cell_ref_matrix),MATCH(selected_dq_descr_xc,INDIRECT(dq_cell_ref_row_names),0),2)</f>
        <v>morph2_p</v>
      </c>
      <c r="D22" s="149">
        <f ca="1">INDEX(INDIRECT(dq_cell_ref_matrix),MATCH(selected_dq_descr_xc,INDIRECT(dq_cell_ref_row_names),0),3)</f>
        <v>0.9</v>
      </c>
      <c r="E22" s="149" t="str">
        <f ca="1">INDEX(INDIRECT(dq_cell_ref_matrix),MATCH(selected_dq_descr_xc,INDIRECT(dq_cell_ref_row_names),0),4)</f>
        <v>n2</v>
      </c>
      <c r="F22" s="149" t="str">
        <f ca="1">INDEX(INDIRECT(dq_cell_ref_matrix),MATCH(selected_dq_descr_xc,INDIRECT(dq_cell_ref_row_names),0),5)</f>
        <v>Number of people with a new diagnosis of pancreatic cancer, with morphology recorded</v>
      </c>
      <c r="G22" s="149" t="str">
        <f ca="1">INDEX(INDIRECT(dq_cell_ref_matrix),MATCH(selected_dq_descr_xc,INDIRECT(dq_cell_ref_row_names),0),6)</f>
        <v>Number of people with a new diagnosis of pancreatic cancer with histology or cytology reported as basis of diagnosis</v>
      </c>
      <c r="H22" s="149" t="str">
        <f ca="1">INDEX(INDIRECT(dq_cell_ref_matrix),MATCH(selected_dq_descr_xc,INDIRECT(dq_cell_ref_row_names),0),7)</f>
        <v>Rapid Cancer Registration Data</v>
      </c>
      <c r="I22" s="149" t="str">
        <f ca="1">INDEX(INDIRECT(dq_cell_ref_matrix),MATCH(selected_dq_descr_xc,INDIRECT(dq_cell_ref_row_names),0),8)</f>
        <v>tumour_morphology &amp; basisofdiagnosis</v>
      </c>
      <c r="J22" s="149" t="str">
        <f ca="1">INDEX(INDIRECT(dq_cell_ref_matrix),MATCH(selected_dq_descr_xc,INDIRECT(dq_cell_ref_row_names),0),9)</f>
        <v>October 2022 to September 2023</v>
      </c>
    </row>
    <row r="23" spans="1:21" x14ac:dyDescent="0.3">
      <c r="B23" s="2"/>
      <c r="C23" s="2"/>
    </row>
    <row r="24" spans="1:21" x14ac:dyDescent="0.3">
      <c r="B24" t="s">
        <v>367</v>
      </c>
      <c r="C24" s="2"/>
    </row>
    <row r="25" spans="1:21" x14ac:dyDescent="0.3">
      <c r="A25" t="s">
        <v>267</v>
      </c>
      <c r="B25" s="10" t="s">
        <v>362</v>
      </c>
      <c r="C25" s="11" t="s">
        <v>363</v>
      </c>
      <c r="D25" s="10" t="s">
        <v>364</v>
      </c>
      <c r="E25" s="10" t="s">
        <v>365</v>
      </c>
      <c r="F25" s="10" t="s">
        <v>387</v>
      </c>
      <c r="G25" s="10" t="s">
        <v>388</v>
      </c>
      <c r="H25" s="10" t="s">
        <v>389</v>
      </c>
      <c r="I25" s="10" t="s">
        <v>390</v>
      </c>
      <c r="J25" s="10" t="s">
        <v>391</v>
      </c>
    </row>
    <row r="26" spans="1:21" x14ac:dyDescent="0.3">
      <c r="A26" t="s">
        <v>268</v>
      </c>
      <c r="B26" s="9" t="e">
        <f>#REF!</f>
        <v>#REF!</v>
      </c>
      <c r="C26" s="9" t="e">
        <f ca="1">VLOOKUP(selected_dq_descr_l,INDIRECT(dq_cell_ref_table),2)</f>
        <v>#REF!</v>
      </c>
      <c r="D26" s="8" t="e">
        <f ca="1">VLOOKUP(selected_dq_descr_l,INDIRECT(dq_cell_ref_table),3)</f>
        <v>#REF!</v>
      </c>
      <c r="E26" s="8" t="e">
        <f ca="1">VLOOKUP(selected_dq_descr_l,INDIRECT(dq_cell_ref_table),4)</f>
        <v>#REF!</v>
      </c>
      <c r="F26" s="8" t="e">
        <f ca="1">VLOOKUP(selected_dq_descr_l,INDIRECT(dq_cell_ref_table),5)</f>
        <v>#REF!</v>
      </c>
      <c r="G26" s="8" t="e">
        <f ca="1">VLOOKUP(selected_dq_descr_l,INDIRECT(dq_cell_ref_table),6)</f>
        <v>#REF!</v>
      </c>
      <c r="H26" s="8" t="e">
        <f ca="1">VLOOKUP(selected_dq_descr_l,INDIRECT(dq_cell_ref_table),7)</f>
        <v>#REF!</v>
      </c>
      <c r="I26" s="8" t="e">
        <f ca="1">VLOOKUP(selected_dq_descr_l,INDIRECT(dq_cell_ref_table),8)</f>
        <v>#REF!</v>
      </c>
      <c r="J26" s="8" t="e">
        <f ca="1">VLOOKUP(selected_dq_descr_l,INDIRECT(dq_cell_ref_table),9)</f>
        <v>#REF!</v>
      </c>
    </row>
    <row r="27" spans="1:21" x14ac:dyDescent="0.3">
      <c r="C27" s="2"/>
    </row>
    <row r="28" spans="1:21" x14ac:dyDescent="0.3">
      <c r="B28" t="s">
        <v>279</v>
      </c>
      <c r="C28" s="10" t="s">
        <v>280</v>
      </c>
      <c r="D28" s="10" t="s">
        <v>281</v>
      </c>
      <c r="E28" s="10" t="s">
        <v>292</v>
      </c>
      <c r="F28" s="10" t="s">
        <v>293</v>
      </c>
    </row>
    <row r="29" spans="1:21" x14ac:dyDescent="0.3">
      <c r="C29" s="9">
        <f ca="1">'Data quality dashboard'!H26</f>
        <v>1</v>
      </c>
      <c r="D29" s="12">
        <f ca="1">'Data quality dashboard'!G26</f>
        <v>1</v>
      </c>
      <c r="E29" s="8">
        <v>0</v>
      </c>
      <c r="F29" s="8">
        <f ca="1">IF(selected_dq_target_xc="NA",NA(),selected_dq_target_xc)</f>
        <v>0.9</v>
      </c>
    </row>
    <row r="30" spans="1:21" x14ac:dyDescent="0.3">
      <c r="C30" s="9">
        <f ca="1">C29</f>
        <v>1</v>
      </c>
      <c r="D30" s="8">
        <v>0</v>
      </c>
      <c r="E30" s="8">
        <f>n_trusts</f>
        <v>122</v>
      </c>
      <c r="F30" s="8">
        <f ca="1">F29</f>
        <v>0.9</v>
      </c>
    </row>
    <row r="31" spans="1:21" x14ac:dyDescent="0.3">
      <c r="C31"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J184"/>
  <sheetViews>
    <sheetView zoomScaleNormal="100" workbookViewId="0">
      <selection activeCell="A16" sqref="A16"/>
    </sheetView>
  </sheetViews>
  <sheetFormatPr defaultRowHeight="14.4" x14ac:dyDescent="0.3"/>
  <cols>
    <col min="1" max="1" width="51.5546875" bestFit="1" customWidth="1"/>
    <col min="2" max="2" width="20.33203125" customWidth="1"/>
    <col min="3" max="3" width="19.6640625" customWidth="1"/>
    <col min="4" max="4" width="20.6640625" customWidth="1"/>
    <col min="5" max="5" width="19.6640625" customWidth="1"/>
    <col min="6" max="6" width="65.6640625" customWidth="1"/>
    <col min="7" max="7" width="19.44140625" bestFit="1" customWidth="1"/>
    <col min="8" max="8" width="15.6640625" customWidth="1"/>
    <col min="9" max="9" width="37.6640625" bestFit="1" customWidth="1"/>
    <col min="10" max="10" width="18.6640625" customWidth="1"/>
    <col min="11" max="11" width="3.44140625" bestFit="1" customWidth="1"/>
    <col min="12" max="13" width="5" bestFit="1" customWidth="1"/>
  </cols>
  <sheetData>
    <row r="1" spans="1:9" x14ac:dyDescent="0.3">
      <c r="A1" t="s">
        <v>330</v>
      </c>
    </row>
    <row r="2" spans="1:9" x14ac:dyDescent="0.3">
      <c r="A2" s="45" t="s">
        <v>331</v>
      </c>
    </row>
    <row r="3" spans="1:9" x14ac:dyDescent="0.3">
      <c r="A3" s="46" t="s">
        <v>332</v>
      </c>
    </row>
    <row r="6" spans="1:9" x14ac:dyDescent="0.3">
      <c r="A6" s="1" t="s">
        <v>325</v>
      </c>
    </row>
    <row r="7" spans="1:9" x14ac:dyDescent="0.3">
      <c r="A7" t="s">
        <v>404</v>
      </c>
    </row>
    <row r="8" spans="1:9" x14ac:dyDescent="0.3">
      <c r="A8" s="14" t="s">
        <v>377</v>
      </c>
      <c r="B8" s="27" t="s">
        <v>381</v>
      </c>
      <c r="C8" s="27" t="s">
        <v>378</v>
      </c>
      <c r="D8" s="27" t="s">
        <v>379</v>
      </c>
      <c r="E8" s="27" t="s">
        <v>380</v>
      </c>
    </row>
    <row r="9" spans="1:9" ht="15" thickBot="1" x14ac:dyDescent="0.35">
      <c r="A9" s="14" t="s">
        <v>376</v>
      </c>
      <c r="B9" s="3" t="s">
        <v>553</v>
      </c>
      <c r="C9" s="3" t="s">
        <v>553</v>
      </c>
      <c r="D9" s="3" t="s">
        <v>392</v>
      </c>
      <c r="E9" s="3" t="s">
        <v>554</v>
      </c>
    </row>
    <row r="10" spans="1:9" x14ac:dyDescent="0.3">
      <c r="A10" s="45" t="s">
        <v>277</v>
      </c>
      <c r="B10" s="36" t="s">
        <v>278</v>
      </c>
      <c r="C10" s="46" t="s">
        <v>355</v>
      </c>
      <c r="D10" s="36" t="s">
        <v>309</v>
      </c>
      <c r="E10" s="46" t="s">
        <v>263</v>
      </c>
      <c r="F10" s="46" t="s">
        <v>261</v>
      </c>
      <c r="G10" s="46" t="s">
        <v>310</v>
      </c>
      <c r="H10" s="46" t="s">
        <v>311</v>
      </c>
      <c r="I10" s="46" t="s">
        <v>335</v>
      </c>
    </row>
    <row r="11" spans="1:9" x14ac:dyDescent="0.3">
      <c r="A11" s="86" t="s">
        <v>285</v>
      </c>
      <c r="B11" s="31" t="s">
        <v>274</v>
      </c>
      <c r="C11" s="38">
        <v>0.9</v>
      </c>
      <c r="D11" s="31" t="s">
        <v>2</v>
      </c>
      <c r="E11" s="31" t="s">
        <v>447</v>
      </c>
      <c r="F11" s="31" t="s">
        <v>452</v>
      </c>
      <c r="G11" s="31" t="s">
        <v>426</v>
      </c>
      <c r="H11" s="31" t="s">
        <v>427</v>
      </c>
      <c r="I11" s="37" t="str">
        <f t="shared" ref="I11:I18" si="0">start_date_england&amp;" to "&amp;end_date_england</f>
        <v>October 2022 to September 2023</v>
      </c>
    </row>
    <row r="12" spans="1:9" x14ac:dyDescent="0.3">
      <c r="A12" s="87" t="s">
        <v>558</v>
      </c>
      <c r="B12" s="38" t="s">
        <v>437</v>
      </c>
      <c r="C12" s="38">
        <v>0.2</v>
      </c>
      <c r="D12" s="38" t="s">
        <v>2</v>
      </c>
      <c r="E12" s="38" t="s">
        <v>559</v>
      </c>
      <c r="F12" s="31" t="s">
        <v>452</v>
      </c>
      <c r="G12" s="73" t="s">
        <v>426</v>
      </c>
      <c r="H12" s="38" t="s">
        <v>427</v>
      </c>
      <c r="I12" s="37" t="str">
        <f t="shared" si="0"/>
        <v>October 2022 to September 2023</v>
      </c>
    </row>
    <row r="13" spans="1:9" x14ac:dyDescent="0.3">
      <c r="A13" s="87" t="s">
        <v>286</v>
      </c>
      <c r="B13" s="38" t="s">
        <v>275</v>
      </c>
      <c r="C13" s="38">
        <v>0.9</v>
      </c>
      <c r="D13" s="38" t="s">
        <v>2</v>
      </c>
      <c r="E13" s="38" t="s">
        <v>448</v>
      </c>
      <c r="F13" s="31" t="s">
        <v>452</v>
      </c>
      <c r="G13" s="73" t="s">
        <v>426</v>
      </c>
      <c r="H13" s="74" t="s">
        <v>428</v>
      </c>
      <c r="I13" s="37" t="str">
        <f t="shared" si="0"/>
        <v>October 2022 to September 2023</v>
      </c>
    </row>
    <row r="14" spans="1:9" x14ac:dyDescent="0.3">
      <c r="A14" s="87" t="s">
        <v>455</v>
      </c>
      <c r="B14" s="38" t="s">
        <v>272</v>
      </c>
      <c r="C14" s="66" t="s">
        <v>425</v>
      </c>
      <c r="D14" s="38" t="s">
        <v>2</v>
      </c>
      <c r="E14" s="38" t="s">
        <v>449</v>
      </c>
      <c r="F14" s="31" t="s">
        <v>452</v>
      </c>
      <c r="G14" s="31" t="s">
        <v>426</v>
      </c>
      <c r="H14" s="74" t="s">
        <v>429</v>
      </c>
      <c r="I14" s="37" t="str">
        <f t="shared" si="0"/>
        <v>October 2022 to September 2023</v>
      </c>
    </row>
    <row r="15" spans="1:9" x14ac:dyDescent="0.3">
      <c r="A15" s="87" t="s">
        <v>577</v>
      </c>
      <c r="B15" s="38" t="s">
        <v>307</v>
      </c>
      <c r="C15" s="66">
        <v>0.9</v>
      </c>
      <c r="D15" s="38" t="s">
        <v>308</v>
      </c>
      <c r="E15" s="38" t="s">
        <v>449</v>
      </c>
      <c r="F15" s="31" t="s">
        <v>453</v>
      </c>
      <c r="G15" s="31" t="s">
        <v>426</v>
      </c>
      <c r="H15" s="74" t="s">
        <v>438</v>
      </c>
      <c r="I15" s="37" t="str">
        <f t="shared" si="0"/>
        <v>October 2022 to September 2023</v>
      </c>
    </row>
    <row r="16" spans="1:9" x14ac:dyDescent="0.3">
      <c r="A16" s="88" t="s">
        <v>287</v>
      </c>
      <c r="B16" s="3" t="s">
        <v>271</v>
      </c>
      <c r="C16" s="38">
        <v>0.9</v>
      </c>
      <c r="D16" s="3" t="s">
        <v>2</v>
      </c>
      <c r="E16" s="3" t="s">
        <v>450</v>
      </c>
      <c r="F16" s="31" t="s">
        <v>452</v>
      </c>
      <c r="G16" s="31" t="s">
        <v>426</v>
      </c>
      <c r="H16" s="75" t="s">
        <v>430</v>
      </c>
      <c r="I16" s="37" t="str">
        <f t="shared" si="0"/>
        <v>October 2022 to September 2023</v>
      </c>
    </row>
    <row r="17" spans="1:9" x14ac:dyDescent="0.3">
      <c r="A17" s="87" t="s">
        <v>288</v>
      </c>
      <c r="B17" s="38" t="s">
        <v>273</v>
      </c>
      <c r="C17" s="38">
        <v>0.9</v>
      </c>
      <c r="D17" s="38" t="s">
        <v>2</v>
      </c>
      <c r="E17" s="38" t="s">
        <v>451</v>
      </c>
      <c r="F17" s="31" t="s">
        <v>452</v>
      </c>
      <c r="G17" s="71" t="s">
        <v>426</v>
      </c>
      <c r="H17" s="72" t="s">
        <v>431</v>
      </c>
      <c r="I17" s="37" t="str">
        <f t="shared" si="0"/>
        <v>October 2022 to September 2023</v>
      </c>
    </row>
    <row r="18" spans="1:9" ht="15" thickBot="1" x14ac:dyDescent="0.35">
      <c r="A18" s="89" t="s">
        <v>551</v>
      </c>
      <c r="B18" s="39" t="s">
        <v>270</v>
      </c>
      <c r="C18" s="39">
        <v>0.9</v>
      </c>
      <c r="D18" s="39" t="s">
        <v>2</v>
      </c>
      <c r="E18" s="39" t="s">
        <v>552</v>
      </c>
      <c r="F18" s="31" t="s">
        <v>452</v>
      </c>
      <c r="G18" s="71" t="s">
        <v>426</v>
      </c>
      <c r="H18" s="39" t="s">
        <v>435</v>
      </c>
      <c r="I18" s="69" t="str">
        <f t="shared" si="0"/>
        <v>October 2022 to September 2023</v>
      </c>
    </row>
    <row r="21" spans="1:9" x14ac:dyDescent="0.3">
      <c r="A21" s="1" t="s">
        <v>407</v>
      </c>
    </row>
    <row r="23" spans="1:9" x14ac:dyDescent="0.3">
      <c r="A23" t="s">
        <v>406</v>
      </c>
      <c r="B23" t="s">
        <v>376</v>
      </c>
      <c r="C23" t="s">
        <v>377</v>
      </c>
    </row>
    <row r="24" spans="1:9" ht="15" thickBot="1" x14ac:dyDescent="0.35">
      <c r="A24" s="8" t="s">
        <v>369</v>
      </c>
      <c r="B24" s="47" t="s">
        <v>441</v>
      </c>
      <c r="C24" s="8" t="s">
        <v>395</v>
      </c>
      <c r="E24" t="s">
        <v>409</v>
      </c>
      <c r="F24" s="27" t="s">
        <v>323</v>
      </c>
      <c r="G24" s="27" t="s">
        <v>267</v>
      </c>
    </row>
    <row r="25" spans="1:9" ht="15" thickBot="1" x14ac:dyDescent="0.35">
      <c r="A25" s="8" t="s">
        <v>371</v>
      </c>
      <c r="B25" s="47" t="s">
        <v>434</v>
      </c>
      <c r="C25" s="8" t="s">
        <v>397</v>
      </c>
      <c r="E25" s="27" t="s">
        <v>317</v>
      </c>
      <c r="F25" s="28">
        <v>0</v>
      </c>
      <c r="G25" s="27" t="s">
        <v>318</v>
      </c>
    </row>
    <row r="26" spans="1:9" ht="15" thickBot="1" x14ac:dyDescent="0.35">
      <c r="A26" s="8" t="s">
        <v>370</v>
      </c>
      <c r="B26" s="47" t="s">
        <v>442</v>
      </c>
      <c r="C26" s="8" t="s">
        <v>398</v>
      </c>
      <c r="E26" s="27" t="s">
        <v>410</v>
      </c>
      <c r="F26" s="28" t="str">
        <f>"NA"</f>
        <v>NA</v>
      </c>
      <c r="G26" s="27" t="s">
        <v>319</v>
      </c>
    </row>
    <row r="27" spans="1:9" ht="15" thickBot="1" x14ac:dyDescent="0.35">
      <c r="A27" s="8" t="s">
        <v>369</v>
      </c>
      <c r="B27" s="47" t="s">
        <v>443</v>
      </c>
      <c r="C27" s="8" t="s">
        <v>416</v>
      </c>
      <c r="E27" s="27" t="s">
        <v>411</v>
      </c>
      <c r="F27" s="67" t="s">
        <v>433</v>
      </c>
      <c r="G27" s="27" t="s">
        <v>320</v>
      </c>
    </row>
    <row r="28" spans="1:9" ht="15" thickBot="1" x14ac:dyDescent="0.35">
      <c r="A28" s="8" t="s">
        <v>371</v>
      </c>
      <c r="B28" s="47" t="s">
        <v>417</v>
      </c>
      <c r="C28" s="8" t="s">
        <v>418</v>
      </c>
      <c r="E28" s="27" t="s">
        <v>412</v>
      </c>
      <c r="F28" s="68" t="s">
        <v>324</v>
      </c>
      <c r="G28" s="27" t="s">
        <v>321</v>
      </c>
    </row>
    <row r="29" spans="1:9" ht="15" thickBot="1" x14ac:dyDescent="0.35">
      <c r="A29" s="8" t="s">
        <v>370</v>
      </c>
      <c r="B29" s="47" t="s">
        <v>444</v>
      </c>
      <c r="C29" s="8" t="s">
        <v>419</v>
      </c>
      <c r="E29" s="27" t="s">
        <v>413</v>
      </c>
      <c r="F29" s="68" t="s">
        <v>432</v>
      </c>
      <c r="G29" s="27" t="s">
        <v>322</v>
      </c>
    </row>
    <row r="30" spans="1:9" x14ac:dyDescent="0.3">
      <c r="A30" s="8" t="s">
        <v>369</v>
      </c>
      <c r="B30" s="47" t="s">
        <v>445</v>
      </c>
      <c r="C30" s="8" t="s">
        <v>396</v>
      </c>
    </row>
    <row r="31" spans="1:9" x14ac:dyDescent="0.3">
      <c r="A31" s="8" t="s">
        <v>370</v>
      </c>
      <c r="B31" s="47" t="s">
        <v>446</v>
      </c>
      <c r="C31" s="8" t="s">
        <v>399</v>
      </c>
    </row>
    <row r="32" spans="1:9" x14ac:dyDescent="0.3">
      <c r="A32" s="8" t="s">
        <v>372</v>
      </c>
      <c r="B32" s="47" t="s">
        <v>474</v>
      </c>
      <c r="C32" s="8" t="s">
        <v>400</v>
      </c>
    </row>
    <row r="33" spans="1:7" x14ac:dyDescent="0.3">
      <c r="A33" s="8" t="s">
        <v>373</v>
      </c>
      <c r="B33" s="47" t="s">
        <v>473</v>
      </c>
      <c r="C33" s="8" t="s">
        <v>401</v>
      </c>
    </row>
    <row r="34" spans="1:7" x14ac:dyDescent="0.3">
      <c r="A34" s="8" t="s">
        <v>374</v>
      </c>
      <c r="B34" s="47" t="s">
        <v>475</v>
      </c>
      <c r="C34" s="8" t="s">
        <v>402</v>
      </c>
    </row>
    <row r="35" spans="1:7" x14ac:dyDescent="0.3">
      <c r="A35" s="8" t="s">
        <v>372</v>
      </c>
      <c r="B35" s="47" t="s">
        <v>476</v>
      </c>
      <c r="C35" s="8" t="s">
        <v>421</v>
      </c>
    </row>
    <row r="36" spans="1:7" x14ac:dyDescent="0.3">
      <c r="A36" s="8" t="s">
        <v>375</v>
      </c>
      <c r="B36" s="47" t="s">
        <v>477</v>
      </c>
      <c r="C36" s="8" t="s">
        <v>422</v>
      </c>
    </row>
    <row r="37" spans="1:7" x14ac:dyDescent="0.3">
      <c r="A37" s="8" t="s">
        <v>373</v>
      </c>
      <c r="B37" s="47" t="s">
        <v>420</v>
      </c>
      <c r="C37" s="8" t="s">
        <v>423</v>
      </c>
    </row>
    <row r="38" spans="1:7" x14ac:dyDescent="0.3">
      <c r="A38" s="8" t="s">
        <v>372</v>
      </c>
      <c r="B38" s="47" t="s">
        <v>478</v>
      </c>
      <c r="C38" s="8" t="s">
        <v>405</v>
      </c>
    </row>
    <row r="39" spans="1:7" x14ac:dyDescent="0.3">
      <c r="A39" s="8" t="s">
        <v>375</v>
      </c>
      <c r="B39" s="47" t="s">
        <v>479</v>
      </c>
      <c r="C39" s="8" t="s">
        <v>403</v>
      </c>
    </row>
    <row r="43" spans="1:7" x14ac:dyDescent="0.3">
      <c r="A43" s="1" t="s">
        <v>560</v>
      </c>
    </row>
    <row r="44" spans="1:7" ht="15" thickBot="1" x14ac:dyDescent="0.35">
      <c r="A44" s="1"/>
    </row>
    <row r="45" spans="1:7" x14ac:dyDescent="0.3">
      <c r="A45" s="14" t="s">
        <v>267</v>
      </c>
      <c r="B45" s="23" t="s">
        <v>326</v>
      </c>
      <c r="C45" s="24" t="s">
        <v>327</v>
      </c>
      <c r="D45" s="24" t="s">
        <v>333</v>
      </c>
      <c r="E45" s="25" t="s">
        <v>334</v>
      </c>
      <c r="F45" t="s">
        <v>465</v>
      </c>
      <c r="G45" t="s">
        <v>466</v>
      </c>
    </row>
    <row r="46" spans="1:7" ht="15" thickBot="1" x14ac:dyDescent="0.35">
      <c r="A46" s="14" t="s">
        <v>268</v>
      </c>
      <c r="B46" s="76" t="s">
        <v>439</v>
      </c>
      <c r="C46" s="70" t="s">
        <v>440</v>
      </c>
      <c r="D46" s="65"/>
      <c r="E46" s="64"/>
      <c r="F46" s="76" t="s">
        <v>464</v>
      </c>
      <c r="G46" s="70" t="s">
        <v>440</v>
      </c>
    </row>
    <row r="48" spans="1:7" x14ac:dyDescent="0.3">
      <c r="A48" s="46" t="s">
        <v>312</v>
      </c>
    </row>
    <row r="49" spans="1:10" x14ac:dyDescent="0.3">
      <c r="A49" s="14" t="s">
        <v>328</v>
      </c>
      <c r="B49" t="s">
        <v>329</v>
      </c>
    </row>
    <row r="50" spans="1:10" ht="15" thickBot="1" x14ac:dyDescent="0.35">
      <c r="A50" s="14" t="s">
        <v>376</v>
      </c>
      <c r="B50" s="3" t="s">
        <v>555</v>
      </c>
    </row>
    <row r="51" spans="1:10" x14ac:dyDescent="0.3">
      <c r="A51" s="77">
        <v>2022</v>
      </c>
      <c r="B51" s="78">
        <v>2023</v>
      </c>
      <c r="C51" s="78"/>
      <c r="D51" s="78"/>
    </row>
    <row r="52" spans="1:10" ht="15" thickBot="1" x14ac:dyDescent="0.35">
      <c r="A52" s="63" t="s">
        <v>315</v>
      </c>
      <c r="B52" s="65" t="s">
        <v>316</v>
      </c>
      <c r="C52" s="65" t="s">
        <v>313</v>
      </c>
      <c r="D52" s="65" t="s">
        <v>314</v>
      </c>
    </row>
    <row r="54" spans="1:10" ht="15" thickBot="1" x14ac:dyDescent="0.35">
      <c r="A54" s="1" t="s">
        <v>339</v>
      </c>
    </row>
    <row r="55" spans="1:10" x14ac:dyDescent="0.3">
      <c r="A55" s="14" t="s">
        <v>267</v>
      </c>
      <c r="B55" s="23" t="s">
        <v>337</v>
      </c>
      <c r="C55" s="25" t="s">
        <v>338</v>
      </c>
    </row>
    <row r="56" spans="1:10" ht="15" thickBot="1" x14ac:dyDescent="0.35">
      <c r="A56" s="14" t="s">
        <v>268</v>
      </c>
      <c r="B56" s="63">
        <f>COUNTA(A63:A184)</f>
        <v>122</v>
      </c>
      <c r="C56" s="64">
        <f>COUNTA(F63:F83)</f>
        <v>21</v>
      </c>
    </row>
    <row r="58" spans="1:10" x14ac:dyDescent="0.3">
      <c r="A58" s="1" t="s">
        <v>414</v>
      </c>
      <c r="E58" t="s">
        <v>262</v>
      </c>
      <c r="F58" s="1" t="s">
        <v>424</v>
      </c>
      <c r="H58" t="s">
        <v>262</v>
      </c>
    </row>
    <row r="60" spans="1:10" x14ac:dyDescent="0.3">
      <c r="A60" s="14" t="s">
        <v>377</v>
      </c>
      <c r="B60" t="s">
        <v>393</v>
      </c>
      <c r="F60" s="14" t="s">
        <v>328</v>
      </c>
      <c r="G60" t="s">
        <v>394</v>
      </c>
    </row>
    <row r="61" spans="1:10" ht="15" thickBot="1" x14ac:dyDescent="0.35">
      <c r="A61" s="14" t="s">
        <v>376</v>
      </c>
      <c r="B61" s="3" t="s">
        <v>556</v>
      </c>
      <c r="F61" s="14" t="s">
        <v>376</v>
      </c>
      <c r="G61" s="3" t="s">
        <v>557</v>
      </c>
    </row>
    <row r="62" spans="1:10" x14ac:dyDescent="0.3">
      <c r="A62" s="45" t="s">
        <v>44</v>
      </c>
      <c r="B62" s="6" t="s">
        <v>43</v>
      </c>
      <c r="C62" s="6" t="s">
        <v>1</v>
      </c>
      <c r="D62" s="6" t="s">
        <v>0</v>
      </c>
      <c r="F62" s="40" t="s">
        <v>415</v>
      </c>
      <c r="G62" s="25" t="s">
        <v>260</v>
      </c>
      <c r="I62" s="1" t="s">
        <v>415</v>
      </c>
      <c r="J62" s="1" t="s">
        <v>260</v>
      </c>
    </row>
    <row r="63" spans="1:10" x14ac:dyDescent="0.3">
      <c r="A63" s="38" t="s">
        <v>89</v>
      </c>
      <c r="B63" s="38" t="s">
        <v>88</v>
      </c>
      <c r="C63" s="38" t="s">
        <v>42</v>
      </c>
      <c r="D63" s="31" t="s">
        <v>41</v>
      </c>
      <c r="F63" s="41" t="s">
        <v>4</v>
      </c>
      <c r="G63" s="42">
        <v>10</v>
      </c>
      <c r="I63" s="41" t="s">
        <v>4</v>
      </c>
      <c r="J63">
        <f>COUNTIF($C$63:$C$184,I63)</f>
        <v>8</v>
      </c>
    </row>
    <row r="64" spans="1:10" x14ac:dyDescent="0.3">
      <c r="A64" s="38" t="s">
        <v>206</v>
      </c>
      <c r="B64" s="38" t="s">
        <v>205</v>
      </c>
      <c r="C64" s="38" t="s">
        <v>33</v>
      </c>
      <c r="D64" s="3" t="s">
        <v>32</v>
      </c>
      <c r="F64" s="41" t="s">
        <v>6</v>
      </c>
      <c r="G64" s="42">
        <v>8</v>
      </c>
      <c r="I64" s="41" t="s">
        <v>6</v>
      </c>
      <c r="J64">
        <f t="shared" ref="J64:J83" si="1">COUNTIF($C$63:$C$184,I64)</f>
        <v>7</v>
      </c>
    </row>
    <row r="65" spans="1:10" x14ac:dyDescent="0.3">
      <c r="A65" s="38" t="s">
        <v>104</v>
      </c>
      <c r="B65" s="38" t="s">
        <v>103</v>
      </c>
      <c r="C65" s="38" t="s">
        <v>22</v>
      </c>
      <c r="D65" s="38" t="s">
        <v>21</v>
      </c>
      <c r="F65" s="41" t="s">
        <v>8</v>
      </c>
      <c r="G65" s="42">
        <v>8</v>
      </c>
      <c r="I65" s="41" t="s">
        <v>8</v>
      </c>
      <c r="J65">
        <f t="shared" si="1"/>
        <v>7</v>
      </c>
    </row>
    <row r="66" spans="1:10" x14ac:dyDescent="0.3">
      <c r="A66" s="38" t="s">
        <v>106</v>
      </c>
      <c r="B66" s="38" t="s">
        <v>105</v>
      </c>
      <c r="C66" s="38" t="s">
        <v>31</v>
      </c>
      <c r="D66" s="3" t="s">
        <v>30</v>
      </c>
      <c r="F66" s="41" t="s">
        <v>10</v>
      </c>
      <c r="G66" s="42">
        <v>6</v>
      </c>
      <c r="I66" s="41" t="s">
        <v>10</v>
      </c>
      <c r="J66">
        <f t="shared" si="1"/>
        <v>6</v>
      </c>
    </row>
    <row r="67" spans="1:10" x14ac:dyDescent="0.3">
      <c r="A67" s="38" t="s">
        <v>53</v>
      </c>
      <c r="B67" s="38" t="s">
        <v>52</v>
      </c>
      <c r="C67" s="38" t="s">
        <v>22</v>
      </c>
      <c r="D67" s="38" t="s">
        <v>21</v>
      </c>
      <c r="F67" s="41" t="s">
        <v>12</v>
      </c>
      <c r="G67" s="42">
        <v>7</v>
      </c>
      <c r="I67" s="41" t="s">
        <v>12</v>
      </c>
      <c r="J67">
        <f t="shared" si="1"/>
        <v>7</v>
      </c>
    </row>
    <row r="68" spans="1:10" x14ac:dyDescent="0.3">
      <c r="A68" s="38" t="s">
        <v>84</v>
      </c>
      <c r="B68" s="38" t="s">
        <v>83</v>
      </c>
      <c r="C68" s="38" t="s">
        <v>10</v>
      </c>
      <c r="D68" s="3" t="s">
        <v>9</v>
      </c>
      <c r="F68" s="41" t="s">
        <v>14</v>
      </c>
      <c r="G68" s="42">
        <v>4</v>
      </c>
      <c r="I68" s="41" t="s">
        <v>524</v>
      </c>
      <c r="J68">
        <f t="shared" si="1"/>
        <v>3</v>
      </c>
    </row>
    <row r="69" spans="1:10" x14ac:dyDescent="0.3">
      <c r="A69" s="38" t="s">
        <v>242</v>
      </c>
      <c r="B69" s="38" t="s">
        <v>241</v>
      </c>
      <c r="C69" s="38" t="s">
        <v>18</v>
      </c>
      <c r="D69" s="38" t="s">
        <v>17</v>
      </c>
      <c r="F69" s="41" t="s">
        <v>16</v>
      </c>
      <c r="G69" s="42">
        <v>4</v>
      </c>
      <c r="I69" s="41" t="s">
        <v>16</v>
      </c>
      <c r="J69">
        <f t="shared" si="1"/>
        <v>4</v>
      </c>
    </row>
    <row r="70" spans="1:10" x14ac:dyDescent="0.3">
      <c r="A70" s="38" t="s">
        <v>160</v>
      </c>
      <c r="B70" s="38" t="s">
        <v>159</v>
      </c>
      <c r="C70" s="38" t="s">
        <v>12</v>
      </c>
      <c r="D70" s="3" t="s">
        <v>11</v>
      </c>
      <c r="F70" s="41" t="s">
        <v>18</v>
      </c>
      <c r="G70" s="42">
        <v>4</v>
      </c>
      <c r="I70" s="41" t="s">
        <v>18</v>
      </c>
      <c r="J70">
        <f t="shared" si="1"/>
        <v>4</v>
      </c>
    </row>
    <row r="71" spans="1:10" x14ac:dyDescent="0.3">
      <c r="A71" s="38" t="s">
        <v>63</v>
      </c>
      <c r="B71" s="38" t="s">
        <v>62</v>
      </c>
      <c r="C71" s="38" t="s">
        <v>42</v>
      </c>
      <c r="D71" s="38" t="s">
        <v>41</v>
      </c>
      <c r="F71" s="41" t="s">
        <v>20</v>
      </c>
      <c r="G71" s="42">
        <v>4</v>
      </c>
      <c r="I71" s="41" t="s">
        <v>20</v>
      </c>
      <c r="J71">
        <f t="shared" si="1"/>
        <v>4</v>
      </c>
    </row>
    <row r="72" spans="1:10" x14ac:dyDescent="0.3">
      <c r="A72" s="38" t="s">
        <v>248</v>
      </c>
      <c r="B72" s="38" t="s">
        <v>247</v>
      </c>
      <c r="C72" s="38" t="s">
        <v>35</v>
      </c>
      <c r="D72" s="3" t="s">
        <v>34</v>
      </c>
      <c r="F72" s="41" t="s">
        <v>22</v>
      </c>
      <c r="G72" s="42">
        <v>3</v>
      </c>
      <c r="I72" s="41" t="s">
        <v>22</v>
      </c>
      <c r="J72">
        <f t="shared" si="1"/>
        <v>3</v>
      </c>
    </row>
    <row r="73" spans="1:10" x14ac:dyDescent="0.3">
      <c r="A73" s="38" t="s">
        <v>514</v>
      </c>
      <c r="B73" s="38" t="s">
        <v>233</v>
      </c>
      <c r="C73" s="38" t="s">
        <v>42</v>
      </c>
      <c r="D73" s="38" t="s">
        <v>41</v>
      </c>
      <c r="F73" s="41" t="s">
        <v>24</v>
      </c>
      <c r="G73" s="42">
        <v>8</v>
      </c>
      <c r="I73" s="41" t="s">
        <v>24</v>
      </c>
      <c r="J73">
        <f t="shared" si="1"/>
        <v>8</v>
      </c>
    </row>
    <row r="74" spans="1:10" x14ac:dyDescent="0.3">
      <c r="A74" s="38" t="s">
        <v>117</v>
      </c>
      <c r="B74" s="38" t="s">
        <v>116</v>
      </c>
      <c r="C74" s="38" t="s">
        <v>8</v>
      </c>
      <c r="D74" s="3" t="s">
        <v>7</v>
      </c>
      <c r="F74" s="41" t="s">
        <v>59</v>
      </c>
      <c r="G74" s="42">
        <v>4</v>
      </c>
      <c r="I74" s="41" t="s">
        <v>59</v>
      </c>
      <c r="J74">
        <f t="shared" si="1"/>
        <v>4</v>
      </c>
    </row>
    <row r="75" spans="1:10" x14ac:dyDescent="0.3">
      <c r="A75" s="38" t="s">
        <v>184</v>
      </c>
      <c r="B75" s="38" t="s">
        <v>183</v>
      </c>
      <c r="C75" s="38" t="s">
        <v>515</v>
      </c>
      <c r="D75" s="38" t="s">
        <v>38</v>
      </c>
      <c r="F75" s="41" t="s">
        <v>298</v>
      </c>
      <c r="G75" s="42">
        <v>9</v>
      </c>
      <c r="I75" s="41" t="s">
        <v>515</v>
      </c>
      <c r="J75">
        <f t="shared" si="1"/>
        <v>9</v>
      </c>
    </row>
    <row r="76" spans="1:10" x14ac:dyDescent="0.3">
      <c r="A76" s="38" t="s">
        <v>109</v>
      </c>
      <c r="B76" s="38" t="s">
        <v>108</v>
      </c>
      <c r="C76" s="38" t="s">
        <v>31</v>
      </c>
      <c r="D76" s="3" t="s">
        <v>30</v>
      </c>
      <c r="F76" s="41" t="s">
        <v>27</v>
      </c>
      <c r="G76" s="42">
        <v>8</v>
      </c>
      <c r="I76" s="41" t="s">
        <v>521</v>
      </c>
      <c r="J76">
        <f t="shared" si="1"/>
        <v>6</v>
      </c>
    </row>
    <row r="77" spans="1:10" x14ac:dyDescent="0.3">
      <c r="A77" s="38" t="s">
        <v>516</v>
      </c>
      <c r="B77" s="38" t="s">
        <v>82</v>
      </c>
      <c r="C77" s="38" t="s">
        <v>12</v>
      </c>
      <c r="D77" s="38" t="s">
        <v>11</v>
      </c>
      <c r="F77" s="41" t="s">
        <v>29</v>
      </c>
      <c r="G77" s="42">
        <v>3</v>
      </c>
      <c r="I77" s="41" t="s">
        <v>29</v>
      </c>
      <c r="J77">
        <f t="shared" si="1"/>
        <v>3</v>
      </c>
    </row>
    <row r="78" spans="1:10" x14ac:dyDescent="0.3">
      <c r="A78" s="38" t="s">
        <v>517</v>
      </c>
      <c r="B78" s="38" t="s">
        <v>102</v>
      </c>
      <c r="C78" s="38" t="s">
        <v>4</v>
      </c>
      <c r="D78" s="3" t="s">
        <v>3</v>
      </c>
      <c r="F78" s="41" t="s">
        <v>31</v>
      </c>
      <c r="G78" s="42">
        <v>4</v>
      </c>
      <c r="I78" s="41" t="s">
        <v>31</v>
      </c>
      <c r="J78">
        <f t="shared" si="1"/>
        <v>5</v>
      </c>
    </row>
    <row r="79" spans="1:10" x14ac:dyDescent="0.3">
      <c r="A79" s="38" t="s">
        <v>518</v>
      </c>
      <c r="B79" s="38" t="s">
        <v>142</v>
      </c>
      <c r="C79" s="38" t="s">
        <v>4</v>
      </c>
      <c r="D79" s="38" t="s">
        <v>3</v>
      </c>
      <c r="F79" s="41" t="s">
        <v>33</v>
      </c>
      <c r="G79" s="42">
        <v>6</v>
      </c>
      <c r="I79" s="41" t="s">
        <v>33</v>
      </c>
      <c r="J79">
        <f t="shared" si="1"/>
        <v>6</v>
      </c>
    </row>
    <row r="80" spans="1:10" x14ac:dyDescent="0.3">
      <c r="A80" s="38" t="s">
        <v>246</v>
      </c>
      <c r="B80" s="38" t="s">
        <v>245</v>
      </c>
      <c r="C80" s="38" t="s">
        <v>24</v>
      </c>
      <c r="D80" s="3" t="s">
        <v>23</v>
      </c>
      <c r="F80" s="41" t="s">
        <v>35</v>
      </c>
      <c r="G80" s="42">
        <v>3</v>
      </c>
      <c r="I80" s="41" t="s">
        <v>35</v>
      </c>
      <c r="J80">
        <f t="shared" si="1"/>
        <v>4</v>
      </c>
    </row>
    <row r="81" spans="1:10" x14ac:dyDescent="0.3">
      <c r="A81" s="38" t="s">
        <v>133</v>
      </c>
      <c r="B81" s="38" t="s">
        <v>132</v>
      </c>
      <c r="C81" s="38" t="s">
        <v>515</v>
      </c>
      <c r="D81" s="38" t="s">
        <v>38</v>
      </c>
      <c r="F81" s="41" t="s">
        <v>37</v>
      </c>
      <c r="G81" s="42">
        <v>6</v>
      </c>
      <c r="I81" s="41" t="s">
        <v>37</v>
      </c>
      <c r="J81">
        <f t="shared" si="1"/>
        <v>6</v>
      </c>
    </row>
    <row r="82" spans="1:10" x14ac:dyDescent="0.3">
      <c r="A82" s="38" t="s">
        <v>168</v>
      </c>
      <c r="B82" s="38" t="s">
        <v>167</v>
      </c>
      <c r="C82" s="38" t="s">
        <v>16</v>
      </c>
      <c r="D82" s="3" t="s">
        <v>15</v>
      </c>
      <c r="F82" s="41" t="s">
        <v>40</v>
      </c>
      <c r="G82" s="42">
        <v>12</v>
      </c>
      <c r="I82" s="41" t="s">
        <v>40</v>
      </c>
      <c r="J82">
        <f t="shared" si="1"/>
        <v>12</v>
      </c>
    </row>
    <row r="83" spans="1:10" x14ac:dyDescent="0.3">
      <c r="A83" s="38" t="s">
        <v>179</v>
      </c>
      <c r="B83" s="38" t="s">
        <v>178</v>
      </c>
      <c r="C83" s="38" t="s">
        <v>31</v>
      </c>
      <c r="D83" s="38" t="s">
        <v>30</v>
      </c>
      <c r="F83" s="41" t="s">
        <v>42</v>
      </c>
      <c r="G83" s="42">
        <v>5</v>
      </c>
      <c r="I83" s="41" t="s">
        <v>42</v>
      </c>
      <c r="J83">
        <f t="shared" si="1"/>
        <v>6</v>
      </c>
    </row>
    <row r="84" spans="1:10" ht="15" thickBot="1" x14ac:dyDescent="0.35">
      <c r="A84" s="38" t="s">
        <v>74</v>
      </c>
      <c r="B84" s="38" t="s">
        <v>73</v>
      </c>
      <c r="C84" s="38" t="s">
        <v>37</v>
      </c>
      <c r="D84" s="3" t="s">
        <v>36</v>
      </c>
      <c r="F84" s="43" t="s">
        <v>259</v>
      </c>
      <c r="G84" s="26">
        <v>126</v>
      </c>
      <c r="I84" s="1" t="s">
        <v>259</v>
      </c>
      <c r="J84">
        <f>SUM(J63:J83)</f>
        <v>122</v>
      </c>
    </row>
    <row r="85" spans="1:10" ht="15" thickBot="1" x14ac:dyDescent="0.35">
      <c r="A85" s="38" t="s">
        <v>519</v>
      </c>
      <c r="B85" s="38" t="s">
        <v>169</v>
      </c>
      <c r="C85" s="38" t="s">
        <v>40</v>
      </c>
      <c r="D85" s="38" t="s">
        <v>39</v>
      </c>
    </row>
    <row r="86" spans="1:10" ht="15" thickBot="1" x14ac:dyDescent="0.35">
      <c r="A86" s="38" t="s">
        <v>227</v>
      </c>
      <c r="B86" s="38" t="s">
        <v>226</v>
      </c>
      <c r="C86" s="38" t="s">
        <v>10</v>
      </c>
      <c r="D86" s="38" t="s">
        <v>9</v>
      </c>
      <c r="F86" s="44" t="s">
        <v>291</v>
      </c>
      <c r="G86" s="62">
        <f>MAX(G63:G83)</f>
        <v>12</v>
      </c>
      <c r="I86" s="44" t="s">
        <v>291</v>
      </c>
      <c r="J86" s="62">
        <f>MAX(J63:J83)</f>
        <v>12</v>
      </c>
    </row>
    <row r="87" spans="1:10" x14ac:dyDescent="0.3">
      <c r="A87" s="38" t="s">
        <v>141</v>
      </c>
      <c r="B87" s="38" t="s">
        <v>140</v>
      </c>
      <c r="C87" s="38" t="s">
        <v>4</v>
      </c>
      <c r="D87" s="3" t="s">
        <v>3</v>
      </c>
    </row>
    <row r="88" spans="1:10" x14ac:dyDescent="0.3">
      <c r="A88" s="38" t="s">
        <v>216</v>
      </c>
      <c r="B88" s="38" t="s">
        <v>215</v>
      </c>
      <c r="C88" s="38" t="s">
        <v>16</v>
      </c>
      <c r="D88" s="38" t="s">
        <v>15</v>
      </c>
    </row>
    <row r="89" spans="1:10" x14ac:dyDescent="0.3">
      <c r="A89" s="38" t="s">
        <v>250</v>
      </c>
      <c r="B89" s="38" t="s">
        <v>249</v>
      </c>
      <c r="C89" s="38" t="s">
        <v>18</v>
      </c>
      <c r="D89" s="3" t="s">
        <v>17</v>
      </c>
    </row>
    <row r="90" spans="1:10" x14ac:dyDescent="0.3">
      <c r="A90" s="38" t="s">
        <v>95</v>
      </c>
      <c r="B90" s="38" t="s">
        <v>94</v>
      </c>
      <c r="C90" s="38" t="s">
        <v>8</v>
      </c>
      <c r="D90" s="38" t="s">
        <v>7</v>
      </c>
    </row>
    <row r="91" spans="1:10" x14ac:dyDescent="0.3">
      <c r="A91" s="38" t="s">
        <v>237</v>
      </c>
      <c r="B91" s="38" t="s">
        <v>236</v>
      </c>
      <c r="C91" s="38" t="s">
        <v>33</v>
      </c>
      <c r="D91" s="3" t="s">
        <v>32</v>
      </c>
    </row>
    <row r="92" spans="1:10" x14ac:dyDescent="0.3">
      <c r="A92" s="38" t="s">
        <v>520</v>
      </c>
      <c r="B92" s="38" t="s">
        <v>214</v>
      </c>
      <c r="C92" s="38" t="s">
        <v>515</v>
      </c>
      <c r="D92" s="38" t="s">
        <v>38</v>
      </c>
    </row>
    <row r="93" spans="1:10" x14ac:dyDescent="0.3">
      <c r="A93" s="38" t="s">
        <v>97</v>
      </c>
      <c r="B93" s="38" t="s">
        <v>96</v>
      </c>
      <c r="C93" s="38" t="s">
        <v>33</v>
      </c>
      <c r="D93" s="3" t="s">
        <v>32</v>
      </c>
    </row>
    <row r="94" spans="1:10" x14ac:dyDescent="0.3">
      <c r="A94" s="38" t="s">
        <v>188</v>
      </c>
      <c r="B94" s="38" t="s">
        <v>187</v>
      </c>
      <c r="C94" s="38" t="s">
        <v>24</v>
      </c>
      <c r="D94" s="38" t="s">
        <v>23</v>
      </c>
    </row>
    <row r="95" spans="1:10" x14ac:dyDescent="0.3">
      <c r="A95" s="38" t="s">
        <v>155</v>
      </c>
      <c r="B95" s="38" t="s">
        <v>154</v>
      </c>
      <c r="C95" s="38" t="s">
        <v>40</v>
      </c>
      <c r="D95" s="3" t="s">
        <v>39</v>
      </c>
    </row>
    <row r="96" spans="1:10" x14ac:dyDescent="0.3">
      <c r="A96" s="38" t="s">
        <v>199</v>
      </c>
      <c r="B96" s="38" t="s">
        <v>198</v>
      </c>
      <c r="C96" s="38" t="s">
        <v>521</v>
      </c>
      <c r="D96" s="38" t="s">
        <v>26</v>
      </c>
    </row>
    <row r="97" spans="1:4" x14ac:dyDescent="0.3">
      <c r="A97" s="38" t="s">
        <v>164</v>
      </c>
      <c r="B97" s="38" t="s">
        <v>163</v>
      </c>
      <c r="C97" s="38" t="s">
        <v>35</v>
      </c>
      <c r="D97" s="3" t="s">
        <v>34</v>
      </c>
    </row>
    <row r="98" spans="1:4" x14ac:dyDescent="0.3">
      <c r="A98" s="38" t="s">
        <v>129</v>
      </c>
      <c r="B98" s="38" t="s">
        <v>128</v>
      </c>
      <c r="C98" s="38" t="s">
        <v>29</v>
      </c>
      <c r="D98" s="38" t="s">
        <v>28</v>
      </c>
    </row>
    <row r="99" spans="1:4" x14ac:dyDescent="0.3">
      <c r="A99" s="38" t="s">
        <v>166</v>
      </c>
      <c r="B99" s="38" t="s">
        <v>165</v>
      </c>
      <c r="C99" s="38" t="s">
        <v>37</v>
      </c>
      <c r="D99" s="3" t="s">
        <v>36</v>
      </c>
    </row>
    <row r="100" spans="1:4" x14ac:dyDescent="0.3">
      <c r="A100" s="38" t="s">
        <v>87</v>
      </c>
      <c r="B100" s="38" t="s">
        <v>86</v>
      </c>
      <c r="C100" s="38" t="s">
        <v>42</v>
      </c>
      <c r="D100" s="38" t="s">
        <v>41</v>
      </c>
    </row>
    <row r="101" spans="1:4" x14ac:dyDescent="0.3">
      <c r="A101" s="38" t="s">
        <v>522</v>
      </c>
      <c r="B101" s="38" t="s">
        <v>70</v>
      </c>
      <c r="C101" s="38" t="s">
        <v>515</v>
      </c>
      <c r="D101" s="3" t="s">
        <v>38</v>
      </c>
    </row>
    <row r="102" spans="1:4" x14ac:dyDescent="0.3">
      <c r="A102" s="38" t="s">
        <v>523</v>
      </c>
      <c r="B102" s="38" t="s">
        <v>186</v>
      </c>
      <c r="C102" s="38" t="s">
        <v>22</v>
      </c>
      <c r="D102" s="3" t="s">
        <v>21</v>
      </c>
    </row>
    <row r="103" spans="1:4" x14ac:dyDescent="0.3">
      <c r="A103" s="38" t="s">
        <v>219</v>
      </c>
      <c r="B103" s="38" t="s">
        <v>218</v>
      </c>
      <c r="C103" s="38" t="s">
        <v>524</v>
      </c>
      <c r="D103" s="38" t="s">
        <v>13</v>
      </c>
    </row>
    <row r="104" spans="1:4" x14ac:dyDescent="0.3">
      <c r="A104" s="38" t="s">
        <v>254</v>
      </c>
      <c r="B104" s="38" t="s">
        <v>253</v>
      </c>
      <c r="C104" s="38" t="s">
        <v>515</v>
      </c>
      <c r="D104" s="3" t="s">
        <v>38</v>
      </c>
    </row>
    <row r="105" spans="1:4" x14ac:dyDescent="0.3">
      <c r="A105" s="38" t="s">
        <v>525</v>
      </c>
      <c r="B105" s="38" t="s">
        <v>51</v>
      </c>
      <c r="C105" s="38" t="s">
        <v>37</v>
      </c>
      <c r="D105" s="38" t="s">
        <v>36</v>
      </c>
    </row>
    <row r="106" spans="1:4" x14ac:dyDescent="0.3">
      <c r="A106" s="38" t="s">
        <v>113</v>
      </c>
      <c r="B106" s="38" t="s">
        <v>112</v>
      </c>
      <c r="C106" s="38" t="s">
        <v>8</v>
      </c>
      <c r="D106" s="3" t="s">
        <v>7</v>
      </c>
    </row>
    <row r="107" spans="1:4" x14ac:dyDescent="0.3">
      <c r="A107" s="38" t="s">
        <v>173</v>
      </c>
      <c r="B107" s="38" t="s">
        <v>172</v>
      </c>
      <c r="C107" s="38" t="s">
        <v>6</v>
      </c>
      <c r="D107" s="38" t="s">
        <v>5</v>
      </c>
    </row>
    <row r="108" spans="1:4" x14ac:dyDescent="0.3">
      <c r="A108" s="38" t="s">
        <v>144</v>
      </c>
      <c r="B108" s="38" t="s">
        <v>143</v>
      </c>
      <c r="C108" s="38" t="s">
        <v>29</v>
      </c>
      <c r="D108" s="3" t="s">
        <v>28</v>
      </c>
    </row>
    <row r="109" spans="1:4" x14ac:dyDescent="0.3">
      <c r="A109" s="38" t="s">
        <v>72</v>
      </c>
      <c r="B109" s="38" t="s">
        <v>71</v>
      </c>
      <c r="C109" s="38" t="s">
        <v>515</v>
      </c>
      <c r="D109" s="38" t="s">
        <v>38</v>
      </c>
    </row>
    <row r="110" spans="1:4" x14ac:dyDescent="0.3">
      <c r="A110" s="38" t="s">
        <v>244</v>
      </c>
      <c r="B110" s="38" t="s">
        <v>243</v>
      </c>
      <c r="C110" s="38" t="s">
        <v>18</v>
      </c>
      <c r="D110" s="3" t="s">
        <v>17</v>
      </c>
    </row>
    <row r="111" spans="1:4" x14ac:dyDescent="0.3">
      <c r="A111" s="38" t="s">
        <v>190</v>
      </c>
      <c r="B111" s="38" t="s">
        <v>189</v>
      </c>
      <c r="C111" s="38" t="s">
        <v>42</v>
      </c>
      <c r="D111" s="38" t="s">
        <v>41</v>
      </c>
    </row>
    <row r="112" spans="1:4" x14ac:dyDescent="0.3">
      <c r="A112" s="38" t="s">
        <v>131</v>
      </c>
      <c r="B112" s="38" t="s">
        <v>130</v>
      </c>
      <c r="C112" s="38" t="s">
        <v>29</v>
      </c>
      <c r="D112" s="3" t="s">
        <v>28</v>
      </c>
    </row>
    <row r="113" spans="1:4" x14ac:dyDescent="0.3">
      <c r="A113" s="38" t="s">
        <v>101</v>
      </c>
      <c r="B113" s="38" t="s">
        <v>100</v>
      </c>
      <c r="C113" s="38" t="s">
        <v>4</v>
      </c>
      <c r="D113" s="3" t="s">
        <v>3</v>
      </c>
    </row>
    <row r="114" spans="1:4" x14ac:dyDescent="0.3">
      <c r="A114" s="38" t="s">
        <v>526</v>
      </c>
      <c r="B114" s="38" t="s">
        <v>54</v>
      </c>
      <c r="C114" s="38" t="s">
        <v>515</v>
      </c>
      <c r="D114" s="38" t="s">
        <v>38</v>
      </c>
    </row>
    <row r="115" spans="1:4" x14ac:dyDescent="0.3">
      <c r="A115" s="38" t="s">
        <v>224</v>
      </c>
      <c r="B115" s="38" t="s">
        <v>223</v>
      </c>
      <c r="C115" s="38" t="s">
        <v>16</v>
      </c>
      <c r="D115" s="3" t="s">
        <v>15</v>
      </c>
    </row>
    <row r="116" spans="1:4" x14ac:dyDescent="0.3">
      <c r="A116" s="38" t="s">
        <v>46</v>
      </c>
      <c r="B116" s="38" t="s">
        <v>45</v>
      </c>
      <c r="C116" s="38" t="s">
        <v>12</v>
      </c>
      <c r="D116" s="38" t="s">
        <v>11</v>
      </c>
    </row>
    <row r="117" spans="1:4" x14ac:dyDescent="0.3">
      <c r="A117" s="38" t="s">
        <v>181</v>
      </c>
      <c r="B117" s="38" t="s">
        <v>180</v>
      </c>
      <c r="C117" s="38" t="s">
        <v>16</v>
      </c>
      <c r="D117" s="3" t="s">
        <v>15</v>
      </c>
    </row>
    <row r="118" spans="1:4" x14ac:dyDescent="0.3">
      <c r="A118" s="38" t="s">
        <v>527</v>
      </c>
      <c r="B118" s="38" t="s">
        <v>79</v>
      </c>
      <c r="C118" s="38" t="s">
        <v>4</v>
      </c>
      <c r="D118" s="38" t="s">
        <v>3</v>
      </c>
    </row>
    <row r="119" spans="1:4" x14ac:dyDescent="0.3">
      <c r="A119" s="38" t="s">
        <v>65</v>
      </c>
      <c r="B119" s="38" t="s">
        <v>64</v>
      </c>
      <c r="C119" s="38" t="s">
        <v>10</v>
      </c>
      <c r="D119" s="38" t="s">
        <v>9</v>
      </c>
    </row>
    <row r="120" spans="1:4" x14ac:dyDescent="0.3">
      <c r="A120" s="38" t="s">
        <v>81</v>
      </c>
      <c r="B120" s="38" t="s">
        <v>80</v>
      </c>
      <c r="C120" s="38" t="s">
        <v>4</v>
      </c>
      <c r="D120" s="3" t="s">
        <v>3</v>
      </c>
    </row>
    <row r="121" spans="1:4" x14ac:dyDescent="0.3">
      <c r="A121" s="38" t="s">
        <v>528</v>
      </c>
      <c r="B121" s="38" t="s">
        <v>238</v>
      </c>
      <c r="C121" s="38" t="s">
        <v>42</v>
      </c>
      <c r="D121" s="38" t="s">
        <v>41</v>
      </c>
    </row>
    <row r="122" spans="1:4" x14ac:dyDescent="0.3">
      <c r="A122" s="38" t="s">
        <v>93</v>
      </c>
      <c r="B122" s="38" t="s">
        <v>92</v>
      </c>
      <c r="C122" s="38" t="s">
        <v>10</v>
      </c>
      <c r="D122" s="3" t="s">
        <v>9</v>
      </c>
    </row>
    <row r="123" spans="1:4" x14ac:dyDescent="0.3">
      <c r="A123" s="38" t="s">
        <v>529</v>
      </c>
      <c r="B123" s="38" t="s">
        <v>197</v>
      </c>
      <c r="C123" s="38" t="s">
        <v>24</v>
      </c>
      <c r="D123" s="38" t="s">
        <v>23</v>
      </c>
    </row>
    <row r="124" spans="1:4" x14ac:dyDescent="0.3">
      <c r="A124" s="38" t="s">
        <v>157</v>
      </c>
      <c r="B124" s="38" t="s">
        <v>156</v>
      </c>
      <c r="C124" s="38" t="s">
        <v>8</v>
      </c>
      <c r="D124" s="38" t="s">
        <v>7</v>
      </c>
    </row>
    <row r="125" spans="1:4" x14ac:dyDescent="0.3">
      <c r="A125" s="38" t="s">
        <v>213</v>
      </c>
      <c r="B125" s="38" t="s">
        <v>212</v>
      </c>
      <c r="C125" s="38" t="s">
        <v>521</v>
      </c>
      <c r="D125" s="3" t="s">
        <v>26</v>
      </c>
    </row>
    <row r="126" spans="1:4" x14ac:dyDescent="0.3">
      <c r="A126" s="38" t="s">
        <v>171</v>
      </c>
      <c r="B126" s="38" t="s">
        <v>170</v>
      </c>
      <c r="C126" s="38" t="s">
        <v>24</v>
      </c>
      <c r="D126" s="38" t="s">
        <v>23</v>
      </c>
    </row>
    <row r="127" spans="1:4" x14ac:dyDescent="0.3">
      <c r="A127" s="38" t="s">
        <v>69</v>
      </c>
      <c r="B127" s="38" t="s">
        <v>68</v>
      </c>
      <c r="C127" s="38" t="s">
        <v>20</v>
      </c>
      <c r="D127" s="3" t="s">
        <v>19</v>
      </c>
    </row>
    <row r="128" spans="1:4" x14ac:dyDescent="0.3">
      <c r="A128" s="38" t="s">
        <v>530</v>
      </c>
      <c r="B128" s="38" t="s">
        <v>217</v>
      </c>
      <c r="C128" s="38" t="s">
        <v>24</v>
      </c>
      <c r="D128" s="38" t="s">
        <v>23</v>
      </c>
    </row>
    <row r="129" spans="1:4" x14ac:dyDescent="0.3">
      <c r="A129" s="38" t="s">
        <v>111</v>
      </c>
      <c r="B129" s="38" t="s">
        <v>110</v>
      </c>
      <c r="C129" s="38" t="s">
        <v>8</v>
      </c>
      <c r="D129" s="3" t="s">
        <v>7</v>
      </c>
    </row>
    <row r="130" spans="1:4" x14ac:dyDescent="0.3">
      <c r="A130" s="38" t="s">
        <v>175</v>
      </c>
      <c r="B130" s="38" t="s">
        <v>174</v>
      </c>
      <c r="C130" s="38" t="s">
        <v>6</v>
      </c>
      <c r="D130" s="38" t="s">
        <v>5</v>
      </c>
    </row>
    <row r="131" spans="1:4" x14ac:dyDescent="0.3">
      <c r="A131" s="38" t="s">
        <v>531</v>
      </c>
      <c r="B131" s="38" t="s">
        <v>158</v>
      </c>
      <c r="C131" s="38" t="s">
        <v>12</v>
      </c>
      <c r="D131" s="38" t="s">
        <v>11</v>
      </c>
    </row>
    <row r="132" spans="1:4" x14ac:dyDescent="0.3">
      <c r="A132" s="38" t="s">
        <v>139</v>
      </c>
      <c r="B132" s="38" t="s">
        <v>138</v>
      </c>
      <c r="C132" s="38" t="s">
        <v>524</v>
      </c>
      <c r="D132" s="3" t="s">
        <v>13</v>
      </c>
    </row>
    <row r="133" spans="1:4" x14ac:dyDescent="0.3">
      <c r="A133" s="38" t="s">
        <v>201</v>
      </c>
      <c r="B133" s="38" t="s">
        <v>200</v>
      </c>
      <c r="C133" s="38" t="s">
        <v>24</v>
      </c>
      <c r="D133" s="38" t="s">
        <v>23</v>
      </c>
    </row>
    <row r="134" spans="1:4" x14ac:dyDescent="0.3">
      <c r="A134" s="38" t="s">
        <v>235</v>
      </c>
      <c r="B134" s="38" t="s">
        <v>234</v>
      </c>
      <c r="C134" s="38" t="s">
        <v>6</v>
      </c>
      <c r="D134" s="3" t="s">
        <v>5</v>
      </c>
    </row>
    <row r="135" spans="1:4" x14ac:dyDescent="0.3">
      <c r="A135" s="38" t="s">
        <v>204</v>
      </c>
      <c r="B135" s="38" t="s">
        <v>203</v>
      </c>
      <c r="C135" s="38" t="s">
        <v>35</v>
      </c>
      <c r="D135" s="38" t="s">
        <v>34</v>
      </c>
    </row>
    <row r="136" spans="1:4" x14ac:dyDescent="0.3">
      <c r="A136" s="38" t="s">
        <v>532</v>
      </c>
      <c r="B136" s="38" t="s">
        <v>125</v>
      </c>
      <c r="C136" s="38" t="s">
        <v>37</v>
      </c>
      <c r="D136" s="3" t="s">
        <v>36</v>
      </c>
    </row>
    <row r="137" spans="1:4" x14ac:dyDescent="0.3">
      <c r="A137" s="38" t="s">
        <v>533</v>
      </c>
      <c r="B137" s="38" t="s">
        <v>185</v>
      </c>
      <c r="C137" s="38" t="s">
        <v>10</v>
      </c>
      <c r="D137" s="3" t="s">
        <v>9</v>
      </c>
    </row>
    <row r="138" spans="1:4" x14ac:dyDescent="0.3">
      <c r="A138" s="38" t="s">
        <v>534</v>
      </c>
      <c r="B138" s="38" t="s">
        <v>90</v>
      </c>
      <c r="C138" s="38" t="s">
        <v>8</v>
      </c>
      <c r="D138" s="38" t="s">
        <v>7</v>
      </c>
    </row>
    <row r="139" spans="1:4" x14ac:dyDescent="0.3">
      <c r="A139" s="38" t="s">
        <v>535</v>
      </c>
      <c r="B139" s="38" t="s">
        <v>107</v>
      </c>
      <c r="C139" s="38" t="s">
        <v>31</v>
      </c>
      <c r="D139" s="3" t="s">
        <v>30</v>
      </c>
    </row>
    <row r="140" spans="1:4" x14ac:dyDescent="0.3">
      <c r="A140" s="38" t="s">
        <v>127</v>
      </c>
      <c r="B140" s="38" t="s">
        <v>126</v>
      </c>
      <c r="C140" s="38" t="s">
        <v>35</v>
      </c>
      <c r="D140" s="38" t="s">
        <v>34</v>
      </c>
    </row>
    <row r="141" spans="1:4" x14ac:dyDescent="0.3">
      <c r="A141" s="38" t="s">
        <v>99</v>
      </c>
      <c r="B141" s="38" t="s">
        <v>98</v>
      </c>
      <c r="C141" s="38" t="s">
        <v>59</v>
      </c>
      <c r="D141" s="3" t="s">
        <v>25</v>
      </c>
    </row>
    <row r="142" spans="1:4" x14ac:dyDescent="0.3">
      <c r="A142" s="38" t="s">
        <v>536</v>
      </c>
      <c r="B142" s="38" t="s">
        <v>120</v>
      </c>
      <c r="C142" s="38" t="s">
        <v>59</v>
      </c>
      <c r="D142" s="38" t="s">
        <v>25</v>
      </c>
    </row>
    <row r="143" spans="1:4" x14ac:dyDescent="0.3">
      <c r="A143" s="38" t="s">
        <v>67</v>
      </c>
      <c r="B143" s="38" t="s">
        <v>66</v>
      </c>
      <c r="C143" s="38" t="s">
        <v>20</v>
      </c>
      <c r="D143" s="3" t="s">
        <v>19</v>
      </c>
    </row>
    <row r="144" spans="1:4" x14ac:dyDescent="0.3">
      <c r="A144" s="38" t="s">
        <v>537</v>
      </c>
      <c r="B144" s="38" t="s">
        <v>182</v>
      </c>
      <c r="C144" s="38" t="s">
        <v>515</v>
      </c>
      <c r="D144" s="38" t="s">
        <v>38</v>
      </c>
    </row>
    <row r="145" spans="1:4" x14ac:dyDescent="0.3">
      <c r="A145" s="38" t="s">
        <v>56</v>
      </c>
      <c r="B145" s="38" t="s">
        <v>55</v>
      </c>
      <c r="C145" s="38" t="s">
        <v>33</v>
      </c>
      <c r="D145" s="38" t="s">
        <v>32</v>
      </c>
    </row>
    <row r="146" spans="1:4" x14ac:dyDescent="0.3">
      <c r="A146" s="38" t="s">
        <v>538</v>
      </c>
      <c r="B146" s="38" t="s">
        <v>91</v>
      </c>
      <c r="C146" s="38" t="s">
        <v>521</v>
      </c>
      <c r="D146" s="3" t="s">
        <v>26</v>
      </c>
    </row>
    <row r="147" spans="1:4" x14ac:dyDescent="0.3">
      <c r="A147" s="38" t="s">
        <v>539</v>
      </c>
      <c r="B147" s="38" t="s">
        <v>151</v>
      </c>
      <c r="C147" s="38" t="s">
        <v>40</v>
      </c>
      <c r="D147" s="3" t="s">
        <v>39</v>
      </c>
    </row>
    <row r="148" spans="1:4" x14ac:dyDescent="0.3">
      <c r="A148" s="38" t="s">
        <v>177</v>
      </c>
      <c r="B148" s="38" t="s">
        <v>176</v>
      </c>
      <c r="C148" s="38" t="s">
        <v>521</v>
      </c>
      <c r="D148" s="3" t="s">
        <v>26</v>
      </c>
    </row>
    <row r="149" spans="1:4" x14ac:dyDescent="0.3">
      <c r="A149" s="38" t="s">
        <v>240</v>
      </c>
      <c r="B149" s="38" t="s">
        <v>239</v>
      </c>
      <c r="C149" s="38" t="s">
        <v>40</v>
      </c>
      <c r="D149" s="38" t="s">
        <v>39</v>
      </c>
    </row>
    <row r="150" spans="1:4" x14ac:dyDescent="0.3">
      <c r="A150" s="38" t="s">
        <v>124</v>
      </c>
      <c r="B150" s="38" t="s">
        <v>123</v>
      </c>
      <c r="C150" s="38" t="s">
        <v>31</v>
      </c>
      <c r="D150" s="3" t="s">
        <v>30</v>
      </c>
    </row>
    <row r="151" spans="1:4" x14ac:dyDescent="0.3">
      <c r="A151" s="38" t="s">
        <v>146</v>
      </c>
      <c r="B151" s="38" t="s">
        <v>145</v>
      </c>
      <c r="C151" s="38" t="s">
        <v>6</v>
      </c>
      <c r="D151" s="38" t="s">
        <v>5</v>
      </c>
    </row>
    <row r="152" spans="1:4" x14ac:dyDescent="0.3">
      <c r="A152" s="38" t="s">
        <v>252</v>
      </c>
      <c r="B152" s="38" t="s">
        <v>251</v>
      </c>
      <c r="C152" s="38" t="s">
        <v>40</v>
      </c>
      <c r="D152" s="3" t="s">
        <v>39</v>
      </c>
    </row>
    <row r="153" spans="1:4" x14ac:dyDescent="0.3">
      <c r="A153" s="38" t="s">
        <v>119</v>
      </c>
      <c r="B153" s="38" t="s">
        <v>118</v>
      </c>
      <c r="C153" s="38" t="s">
        <v>521</v>
      </c>
      <c r="D153" s="38" t="s">
        <v>26</v>
      </c>
    </row>
    <row r="154" spans="1:4" x14ac:dyDescent="0.3">
      <c r="A154" s="38" t="s">
        <v>210</v>
      </c>
      <c r="B154" s="38" t="s">
        <v>209</v>
      </c>
      <c r="C154" s="38" t="s">
        <v>24</v>
      </c>
      <c r="D154" s="3" t="s">
        <v>23</v>
      </c>
    </row>
    <row r="155" spans="1:4" x14ac:dyDescent="0.3">
      <c r="A155" s="38" t="s">
        <v>48</v>
      </c>
      <c r="B155" s="38" t="s">
        <v>47</v>
      </c>
      <c r="C155" s="38" t="s">
        <v>24</v>
      </c>
      <c r="D155" s="38" t="s">
        <v>23</v>
      </c>
    </row>
    <row r="156" spans="1:4" x14ac:dyDescent="0.3">
      <c r="A156" s="38" t="s">
        <v>540</v>
      </c>
      <c r="B156" s="38" t="s">
        <v>136</v>
      </c>
      <c r="C156" s="38" t="s">
        <v>40</v>
      </c>
      <c r="D156" s="3" t="s">
        <v>39</v>
      </c>
    </row>
    <row r="157" spans="1:4" x14ac:dyDescent="0.3">
      <c r="A157" s="38" t="s">
        <v>135</v>
      </c>
      <c r="B157" s="38" t="s">
        <v>134</v>
      </c>
      <c r="C157" s="38" t="s">
        <v>515</v>
      </c>
      <c r="D157" s="3" t="s">
        <v>38</v>
      </c>
    </row>
    <row r="158" spans="1:4" x14ac:dyDescent="0.3">
      <c r="A158" s="38" t="s">
        <v>229</v>
      </c>
      <c r="B158" s="38" t="s">
        <v>228</v>
      </c>
      <c r="C158" s="38" t="s">
        <v>12</v>
      </c>
      <c r="D158" s="3" t="s">
        <v>11</v>
      </c>
    </row>
    <row r="159" spans="1:4" x14ac:dyDescent="0.3">
      <c r="A159" s="38" t="s">
        <v>208</v>
      </c>
      <c r="B159" s="38" t="s">
        <v>207</v>
      </c>
      <c r="C159" s="38" t="s">
        <v>33</v>
      </c>
      <c r="D159" s="38" t="s">
        <v>32</v>
      </c>
    </row>
    <row r="160" spans="1:4" x14ac:dyDescent="0.3">
      <c r="A160" s="38" t="s">
        <v>162</v>
      </c>
      <c r="B160" s="38" t="s">
        <v>161</v>
      </c>
      <c r="C160" s="38" t="s">
        <v>12</v>
      </c>
      <c r="D160" s="3" t="s">
        <v>11</v>
      </c>
    </row>
    <row r="161" spans="1:4" x14ac:dyDescent="0.3">
      <c r="A161" s="38" t="s">
        <v>61</v>
      </c>
      <c r="B161" s="38" t="s">
        <v>60</v>
      </c>
      <c r="C161" s="38" t="s">
        <v>59</v>
      </c>
      <c r="D161" s="3" t="s">
        <v>25</v>
      </c>
    </row>
    <row r="162" spans="1:4" x14ac:dyDescent="0.3">
      <c r="A162" s="38" t="s">
        <v>221</v>
      </c>
      <c r="B162" s="38" t="s">
        <v>220</v>
      </c>
      <c r="C162" s="38" t="s">
        <v>6</v>
      </c>
      <c r="D162" s="38" t="s">
        <v>5</v>
      </c>
    </row>
    <row r="163" spans="1:4" x14ac:dyDescent="0.3">
      <c r="A163" s="38" t="s">
        <v>196</v>
      </c>
      <c r="B163" s="38" t="s">
        <v>195</v>
      </c>
      <c r="C163" s="38" t="s">
        <v>20</v>
      </c>
      <c r="D163" s="3" t="s">
        <v>19</v>
      </c>
    </row>
    <row r="164" spans="1:4" x14ac:dyDescent="0.3">
      <c r="A164" s="38" t="s">
        <v>122</v>
      </c>
      <c r="B164" s="38" t="s">
        <v>121</v>
      </c>
      <c r="C164" s="38" t="s">
        <v>37</v>
      </c>
      <c r="D164" s="38" t="s">
        <v>36</v>
      </c>
    </row>
    <row r="165" spans="1:4" x14ac:dyDescent="0.3">
      <c r="A165" s="38" t="s">
        <v>194</v>
      </c>
      <c r="B165" s="38" t="s">
        <v>193</v>
      </c>
      <c r="C165" s="38" t="s">
        <v>40</v>
      </c>
      <c r="D165" s="3" t="s">
        <v>39</v>
      </c>
    </row>
    <row r="166" spans="1:4" x14ac:dyDescent="0.3">
      <c r="A166" s="38" t="s">
        <v>58</v>
      </c>
      <c r="B166" s="38" t="s">
        <v>57</v>
      </c>
      <c r="C166" s="38" t="s">
        <v>521</v>
      </c>
      <c r="D166" s="38" t="s">
        <v>26</v>
      </c>
    </row>
    <row r="167" spans="1:4" x14ac:dyDescent="0.3">
      <c r="A167" s="38" t="s">
        <v>149</v>
      </c>
      <c r="B167" s="38" t="s">
        <v>148</v>
      </c>
      <c r="C167" s="38" t="s">
        <v>40</v>
      </c>
      <c r="D167" s="3" t="s">
        <v>39</v>
      </c>
    </row>
    <row r="168" spans="1:4" x14ac:dyDescent="0.3">
      <c r="A168" s="38" t="s">
        <v>50</v>
      </c>
      <c r="B168" s="38" t="s">
        <v>49</v>
      </c>
      <c r="C168" s="38" t="s">
        <v>37</v>
      </c>
      <c r="D168" s="38" t="s">
        <v>36</v>
      </c>
    </row>
    <row r="169" spans="1:4" x14ac:dyDescent="0.3">
      <c r="A169" s="38" t="s">
        <v>541</v>
      </c>
      <c r="B169" s="38" t="s">
        <v>202</v>
      </c>
      <c r="C169" s="38" t="s">
        <v>6</v>
      </c>
      <c r="D169" s="3" t="s">
        <v>5</v>
      </c>
    </row>
    <row r="170" spans="1:4" x14ac:dyDescent="0.3">
      <c r="A170" s="38" t="s">
        <v>542</v>
      </c>
      <c r="B170" s="38" t="s">
        <v>222</v>
      </c>
      <c r="C170" s="38" t="s">
        <v>6</v>
      </c>
      <c r="D170" s="38" t="s">
        <v>5</v>
      </c>
    </row>
    <row r="171" spans="1:4" x14ac:dyDescent="0.3">
      <c r="A171" s="38" t="s">
        <v>543</v>
      </c>
      <c r="B171" s="38" t="s">
        <v>211</v>
      </c>
      <c r="C171" s="38" t="s">
        <v>18</v>
      </c>
      <c r="D171" s="3" t="s">
        <v>17</v>
      </c>
    </row>
    <row r="172" spans="1:4" x14ac:dyDescent="0.3">
      <c r="A172" s="38" t="s">
        <v>544</v>
      </c>
      <c r="B172" s="38" t="s">
        <v>137</v>
      </c>
      <c r="C172" s="38" t="s">
        <v>40</v>
      </c>
      <c r="D172" s="38" t="s">
        <v>39</v>
      </c>
    </row>
    <row r="173" spans="1:4" x14ac:dyDescent="0.3">
      <c r="A173" s="38" t="s">
        <v>545</v>
      </c>
      <c r="B173" s="38" t="s">
        <v>147</v>
      </c>
      <c r="C173" s="38" t="s">
        <v>59</v>
      </c>
      <c r="D173" s="38" t="s">
        <v>25</v>
      </c>
    </row>
    <row r="174" spans="1:4" x14ac:dyDescent="0.3">
      <c r="A174" s="38" t="s">
        <v>306</v>
      </c>
      <c r="B174" s="38" t="s">
        <v>255</v>
      </c>
      <c r="C174" s="38" t="s">
        <v>33</v>
      </c>
      <c r="D174" s="3" t="s">
        <v>32</v>
      </c>
    </row>
    <row r="175" spans="1:4" x14ac:dyDescent="0.3">
      <c r="A175" s="38" t="s">
        <v>76</v>
      </c>
      <c r="B175" s="38" t="s">
        <v>75</v>
      </c>
      <c r="C175" s="38" t="s">
        <v>40</v>
      </c>
      <c r="D175" s="38" t="s">
        <v>39</v>
      </c>
    </row>
    <row r="176" spans="1:4" x14ac:dyDescent="0.3">
      <c r="A176" s="38" t="s">
        <v>546</v>
      </c>
      <c r="B176" s="38" t="s">
        <v>232</v>
      </c>
      <c r="C176" s="38" t="s">
        <v>4</v>
      </c>
      <c r="D176" s="3" t="s">
        <v>3</v>
      </c>
    </row>
    <row r="177" spans="1:4" x14ac:dyDescent="0.3">
      <c r="A177" s="38" t="s">
        <v>547</v>
      </c>
      <c r="B177" s="38" t="s">
        <v>225</v>
      </c>
      <c r="C177" s="38" t="s">
        <v>10</v>
      </c>
      <c r="D177" s="38" t="s">
        <v>9</v>
      </c>
    </row>
    <row r="178" spans="1:4" x14ac:dyDescent="0.3">
      <c r="A178" s="38" t="s">
        <v>115</v>
      </c>
      <c r="B178" s="38" t="s">
        <v>114</v>
      </c>
      <c r="C178" s="38" t="s">
        <v>8</v>
      </c>
      <c r="D178" s="3" t="s">
        <v>7</v>
      </c>
    </row>
    <row r="179" spans="1:4" x14ac:dyDescent="0.3">
      <c r="A179" s="38" t="s">
        <v>548</v>
      </c>
      <c r="B179" s="38" t="s">
        <v>150</v>
      </c>
      <c r="C179" s="38" t="s">
        <v>20</v>
      </c>
      <c r="D179" s="38" t="s">
        <v>19</v>
      </c>
    </row>
    <row r="180" spans="1:4" x14ac:dyDescent="0.3">
      <c r="A180" s="38" t="s">
        <v>78</v>
      </c>
      <c r="B180" s="38" t="s">
        <v>77</v>
      </c>
      <c r="C180" s="38" t="s">
        <v>4</v>
      </c>
      <c r="D180" s="38" t="s">
        <v>3</v>
      </c>
    </row>
    <row r="181" spans="1:4" x14ac:dyDescent="0.3">
      <c r="A181" s="38" t="s">
        <v>231</v>
      </c>
      <c r="B181" s="38" t="s">
        <v>230</v>
      </c>
      <c r="C181" s="38" t="s">
        <v>40</v>
      </c>
      <c r="D181" s="3" t="s">
        <v>39</v>
      </c>
    </row>
    <row r="182" spans="1:4" x14ac:dyDescent="0.3">
      <c r="A182" s="38" t="s">
        <v>192</v>
      </c>
      <c r="B182" s="38" t="s">
        <v>191</v>
      </c>
      <c r="C182" s="38" t="s">
        <v>12</v>
      </c>
      <c r="D182" s="38" t="s">
        <v>11</v>
      </c>
    </row>
    <row r="183" spans="1:4" x14ac:dyDescent="0.3">
      <c r="A183" s="38" t="s">
        <v>153</v>
      </c>
      <c r="B183" s="38" t="s">
        <v>152</v>
      </c>
      <c r="C183" s="38" t="s">
        <v>40</v>
      </c>
      <c r="D183" s="3" t="s">
        <v>39</v>
      </c>
    </row>
    <row r="184" spans="1:4" x14ac:dyDescent="0.3">
      <c r="A184" s="38" t="s">
        <v>549</v>
      </c>
      <c r="B184" s="38" t="s">
        <v>85</v>
      </c>
      <c r="C184" s="38" t="s">
        <v>524</v>
      </c>
      <c r="D184" s="22" t="s">
        <v>13</v>
      </c>
    </row>
  </sheetData>
  <sortState xmlns:xlrd2="http://schemas.microsoft.com/office/spreadsheetml/2017/richdata2" ref="A63:D184">
    <sortCondition ref="A63:A18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Q123"/>
  <sheetViews>
    <sheetView workbookViewId="0">
      <pane xSplit="4" ySplit="1" topLeftCell="E2" activePane="bottomRight" state="frozen"/>
      <selection activeCell="E17" sqref="E17"/>
      <selection pane="topRight" activeCell="E17" sqref="E17"/>
      <selection pane="bottomLeft" activeCell="E17" sqref="E17"/>
      <selection pane="bottomRight" activeCell="J7" sqref="J7"/>
    </sheetView>
  </sheetViews>
  <sheetFormatPr defaultRowHeight="14.4" x14ac:dyDescent="0.3"/>
  <cols>
    <col min="1" max="1" width="61" bestFit="1" customWidth="1"/>
    <col min="2" max="2" width="12.5546875" customWidth="1"/>
    <col min="3" max="3" width="41.44140625" bestFit="1" customWidth="1"/>
    <col min="4" max="4" width="15.33203125" customWidth="1"/>
    <col min="5" max="6" width="7.6640625" style="49" bestFit="1" customWidth="1"/>
    <col min="7" max="7" width="9.88671875" style="4" bestFit="1" customWidth="1"/>
    <col min="8" max="8" width="7.33203125" style="4" customWidth="1"/>
    <col min="9" max="9" width="10.44140625" style="4" bestFit="1" customWidth="1"/>
    <col min="10" max="10" width="11.44140625" style="4" bestFit="1" customWidth="1"/>
    <col min="11" max="11" width="9.44140625" style="4" bestFit="1" customWidth="1"/>
    <col min="12" max="12" width="9.6640625" style="4" bestFit="1" customWidth="1"/>
    <col min="13" max="13" width="12.33203125" style="4" bestFit="1" customWidth="1"/>
    <col min="14" max="14" width="12.33203125" style="4" customWidth="1"/>
    <col min="15" max="15" width="12.6640625" customWidth="1"/>
    <col min="16" max="17" width="30.5546875" style="4" customWidth="1"/>
  </cols>
  <sheetData>
    <row r="1" spans="1:17" x14ac:dyDescent="0.3">
      <c r="A1" s="6" t="s">
        <v>44</v>
      </c>
      <c r="B1" s="6" t="s">
        <v>43</v>
      </c>
      <c r="C1" s="6" t="s">
        <v>1</v>
      </c>
      <c r="D1" s="6" t="s">
        <v>0</v>
      </c>
      <c r="E1" s="56" t="s">
        <v>2</v>
      </c>
      <c r="F1" s="81" t="s">
        <v>308</v>
      </c>
      <c r="G1" s="51" t="s">
        <v>270</v>
      </c>
      <c r="H1" s="51" t="s">
        <v>271</v>
      </c>
      <c r="I1" s="51" t="s">
        <v>272</v>
      </c>
      <c r="J1" s="51" t="s">
        <v>307</v>
      </c>
      <c r="K1" s="51" t="s">
        <v>273</v>
      </c>
      <c r="L1" s="51" t="s">
        <v>274</v>
      </c>
      <c r="M1" s="51" t="s">
        <v>275</v>
      </c>
      <c r="N1" s="82" t="s">
        <v>437</v>
      </c>
      <c r="O1" t="s">
        <v>408</v>
      </c>
      <c r="P1" s="13" t="s">
        <v>289</v>
      </c>
      <c r="Q1" s="13" t="s">
        <v>290</v>
      </c>
    </row>
    <row r="2" spans="1:17" x14ac:dyDescent="0.3">
      <c r="A2" s="38" t="s">
        <v>89</v>
      </c>
      <c r="B2" s="38" t="s">
        <v>88</v>
      </c>
      <c r="C2" s="38" t="s">
        <v>42</v>
      </c>
      <c r="D2" s="31" t="s">
        <v>41</v>
      </c>
      <c r="E2" s="2">
        <v>36</v>
      </c>
      <c r="F2" s="2">
        <v>11</v>
      </c>
      <c r="G2" s="4">
        <v>0.8611111044883728</v>
      </c>
      <c r="H2" s="4">
        <v>0.83333331346511841</v>
      </c>
      <c r="I2" s="4">
        <v>0.97222220897674561</v>
      </c>
      <c r="J2" s="4">
        <v>1</v>
      </c>
      <c r="K2" s="4">
        <v>0.97222220897674561</v>
      </c>
      <c r="L2" s="4">
        <v>0.97222220897674561</v>
      </c>
      <c r="M2" s="4">
        <v>1</v>
      </c>
      <c r="N2" s="4">
        <v>0.3055555522441864</v>
      </c>
      <c r="P2" s="52" cm="1">
        <f t="array" aca="1" ref="P2" ca="1">INDEX(INDIRECT(trust_dq_table),(ROW()-ROW(INDIRECT(trust_dq_cols))),MATCH(selected_dq_name_xc,INDIRECT(trust_dq_cols),0))</f>
        <v>1</v>
      </c>
      <c r="Q2" s="52">
        <f t="shared" ref="Q2:Q33" ca="1" si="0">RANK(P2,P:P,0)</f>
        <v>1</v>
      </c>
    </row>
    <row r="3" spans="1:17" x14ac:dyDescent="0.3">
      <c r="A3" s="38" t="s">
        <v>206</v>
      </c>
      <c r="B3" s="38" t="s">
        <v>205</v>
      </c>
      <c r="C3" s="38" t="s">
        <v>33</v>
      </c>
      <c r="D3" s="3" t="s">
        <v>32</v>
      </c>
      <c r="E3" s="2">
        <v>52</v>
      </c>
      <c r="F3" s="2">
        <v>16</v>
      </c>
      <c r="G3" s="4">
        <v>0.73076921701431274</v>
      </c>
      <c r="H3" s="4">
        <v>0.82692307233810425</v>
      </c>
      <c r="I3" s="4">
        <v>0.38461539149284357</v>
      </c>
      <c r="J3" s="4">
        <v>0.8125</v>
      </c>
      <c r="K3" s="4">
        <v>0.94230771064758301</v>
      </c>
      <c r="L3" s="4">
        <v>0.82692307233810425</v>
      </c>
      <c r="M3" s="4">
        <v>0.86538463830947876</v>
      </c>
      <c r="N3" s="4">
        <v>0.30769231915473938</v>
      </c>
      <c r="P3" s="4" cm="1">
        <f t="array" aca="1" ref="P3" ca="1">INDEX(INDIRECT(trust_dq_table),(ROW()-ROW(INDIRECT(trust_dq_cols))),MATCH(selected_dq_name_xc,INDIRECT(trust_dq_cols),0))</f>
        <v>0.8125</v>
      </c>
      <c r="Q3" s="52">
        <f t="shared" ca="1" si="0"/>
        <v>98</v>
      </c>
    </row>
    <row r="4" spans="1:17" x14ac:dyDescent="0.3">
      <c r="A4" s="38" t="s">
        <v>104</v>
      </c>
      <c r="B4" s="38" t="s">
        <v>103</v>
      </c>
      <c r="C4" s="38" t="s">
        <v>22</v>
      </c>
      <c r="D4" s="38" t="s">
        <v>21</v>
      </c>
      <c r="E4" s="2">
        <v>84</v>
      </c>
      <c r="F4" s="2">
        <v>25</v>
      </c>
      <c r="G4" s="4">
        <v>0.76190477609634399</v>
      </c>
      <c r="H4" s="4">
        <v>0.6071428656578064</v>
      </c>
      <c r="I4" s="4">
        <v>0.380952388048172</v>
      </c>
      <c r="J4" s="4">
        <v>0.75999999046325684</v>
      </c>
      <c r="K4" s="4">
        <v>0.97619044780731201</v>
      </c>
      <c r="L4" s="4">
        <v>0.9404761791229248</v>
      </c>
      <c r="M4" s="4">
        <v>0.97619044780731201</v>
      </c>
      <c r="N4" s="4">
        <v>0.2976190447807312</v>
      </c>
      <c r="P4" s="54" cm="1">
        <f t="array" aca="1" ref="P4" ca="1">INDEX(INDIRECT(trust_dq_table),(ROW()-ROW(INDIRECT(trust_dq_cols))),MATCH(selected_dq_name_xc,INDIRECT(trust_dq_cols),0))</f>
        <v>0.75999999046325684</v>
      </c>
      <c r="Q4" s="52">
        <f t="shared" ca="1" si="0"/>
        <v>106</v>
      </c>
    </row>
    <row r="5" spans="1:17" x14ac:dyDescent="0.3">
      <c r="A5" s="38" t="s">
        <v>106</v>
      </c>
      <c r="B5" s="38" t="s">
        <v>105</v>
      </c>
      <c r="C5" s="38" t="s">
        <v>31</v>
      </c>
      <c r="D5" s="3" t="s">
        <v>30</v>
      </c>
      <c r="E5" s="2">
        <v>51</v>
      </c>
      <c r="F5" s="2">
        <v>20</v>
      </c>
      <c r="G5" s="4">
        <v>0.88235294818878174</v>
      </c>
      <c r="H5" s="4">
        <v>0.92156863212585449</v>
      </c>
      <c r="I5" s="4">
        <v>0.37254902720451349</v>
      </c>
      <c r="J5" s="4">
        <v>0.89999997615814209</v>
      </c>
      <c r="K5" s="4">
        <v>0.96078431606292725</v>
      </c>
      <c r="L5" s="4">
        <v>0.98039215803146362</v>
      </c>
      <c r="M5" s="4">
        <v>0.96078431606292725</v>
      </c>
      <c r="N5" s="4">
        <v>0.39215686917304993</v>
      </c>
      <c r="P5" s="4" cm="1">
        <f t="array" aca="1" ref="P5" ca="1">INDEX(INDIRECT(trust_dq_table),(ROW()-ROW(INDIRECT(trust_dq_cols))),MATCH(selected_dq_name_xc,INDIRECT(trust_dq_cols),0))</f>
        <v>0.89999997615814209</v>
      </c>
      <c r="Q5" s="52">
        <f t="shared" ca="1" si="0"/>
        <v>74</v>
      </c>
    </row>
    <row r="6" spans="1:17" x14ac:dyDescent="0.3">
      <c r="A6" s="38" t="s">
        <v>53</v>
      </c>
      <c r="B6" s="38" t="s">
        <v>52</v>
      </c>
      <c r="C6" s="38" t="s">
        <v>22</v>
      </c>
      <c r="D6" s="38" t="s">
        <v>21</v>
      </c>
      <c r="E6" s="2">
        <v>111</v>
      </c>
      <c r="F6" s="2">
        <v>36</v>
      </c>
      <c r="G6" s="4">
        <v>0.58558559417724609</v>
      </c>
      <c r="H6" s="4">
        <v>6.3063062727451324E-2</v>
      </c>
      <c r="I6" s="4">
        <v>0.27927929162979132</v>
      </c>
      <c r="J6" s="4">
        <v>0.80555558204650879</v>
      </c>
      <c r="K6" s="4">
        <v>0.97297298908233643</v>
      </c>
      <c r="L6" s="4">
        <v>0.54054051637649536</v>
      </c>
      <c r="M6" s="4">
        <v>0.97297298908233643</v>
      </c>
      <c r="N6" s="4">
        <v>0.32432430982589722</v>
      </c>
      <c r="P6" s="54" cm="1">
        <f t="array" aca="1" ref="P6" ca="1">INDEX(INDIRECT(trust_dq_table),(ROW()-ROW(INDIRECT(trust_dq_cols))),MATCH(selected_dq_name_xc,INDIRECT(trust_dq_cols),0))</f>
        <v>0.80555558204650879</v>
      </c>
      <c r="Q6" s="52">
        <f t="shared" ca="1" si="0"/>
        <v>102</v>
      </c>
    </row>
    <row r="7" spans="1:17" x14ac:dyDescent="0.3">
      <c r="A7" s="38" t="s">
        <v>84</v>
      </c>
      <c r="B7" s="38" t="s">
        <v>83</v>
      </c>
      <c r="C7" s="38" t="s">
        <v>10</v>
      </c>
      <c r="D7" s="3" t="s">
        <v>9</v>
      </c>
      <c r="E7" s="2">
        <v>55</v>
      </c>
      <c r="F7" s="2">
        <v>20</v>
      </c>
      <c r="G7" s="4">
        <v>0.49090909957885742</v>
      </c>
      <c r="H7" s="4">
        <v>0.65454542636871338</v>
      </c>
      <c r="I7" s="4">
        <v>0.38181817531585688</v>
      </c>
      <c r="J7" s="4">
        <v>0.89999997615814209</v>
      </c>
      <c r="K7" s="4">
        <v>0.98181819915771484</v>
      </c>
      <c r="L7" s="4">
        <v>0.8545454740524292</v>
      </c>
      <c r="M7" s="4">
        <v>1</v>
      </c>
      <c r="N7" s="4">
        <v>0.36363637447357178</v>
      </c>
      <c r="P7" s="4" cm="1">
        <f t="array" aca="1" ref="P7" ca="1">INDEX(INDIRECT(trust_dq_table),(ROW()-ROW(INDIRECT(trust_dq_cols))),MATCH(selected_dq_name_xc,INDIRECT(trust_dq_cols),0))</f>
        <v>0.89999997615814209</v>
      </c>
      <c r="Q7" s="52">
        <f t="shared" ca="1" si="0"/>
        <v>74</v>
      </c>
    </row>
    <row r="8" spans="1:17" x14ac:dyDescent="0.3">
      <c r="A8" s="38" t="s">
        <v>242</v>
      </c>
      <c r="B8" s="38" t="s">
        <v>241</v>
      </c>
      <c r="C8" s="38" t="s">
        <v>18</v>
      </c>
      <c r="D8" s="38" t="s">
        <v>17</v>
      </c>
      <c r="E8" s="2">
        <v>43</v>
      </c>
      <c r="F8" s="2">
        <v>11</v>
      </c>
      <c r="G8" s="4">
        <v>0.60465115308761597</v>
      </c>
      <c r="H8" s="4">
        <v>0.4883720874786377</v>
      </c>
      <c r="I8" s="4">
        <v>0.44186046719551092</v>
      </c>
      <c r="J8" s="4">
        <v>0.90909093618392944</v>
      </c>
      <c r="K8" s="4">
        <v>0.97674417495727539</v>
      </c>
      <c r="L8" s="4">
        <v>0.90697675943374634</v>
      </c>
      <c r="M8" s="4">
        <v>0.95348834991455078</v>
      </c>
      <c r="N8" s="4">
        <v>0.25581395626068121</v>
      </c>
      <c r="P8" s="54" cm="1">
        <f t="array" aca="1" ref="P8" ca="1">INDEX(INDIRECT(trust_dq_table),(ROW()-ROW(INDIRECT(trust_dq_cols))),MATCH(selected_dq_name_xc,INDIRECT(trust_dq_cols),0))</f>
        <v>0.90909093618392944</v>
      </c>
      <c r="Q8" s="52">
        <f t="shared" ca="1" si="0"/>
        <v>73</v>
      </c>
    </row>
    <row r="9" spans="1:17" x14ac:dyDescent="0.3">
      <c r="A9" s="38" t="s">
        <v>160</v>
      </c>
      <c r="B9" s="38" t="s">
        <v>159</v>
      </c>
      <c r="C9" s="38" t="s">
        <v>12</v>
      </c>
      <c r="D9" s="3" t="s">
        <v>11</v>
      </c>
      <c r="E9" s="2">
        <v>41</v>
      </c>
      <c r="F9" s="2">
        <v>1</v>
      </c>
      <c r="G9" s="4">
        <v>0.53658539056777954</v>
      </c>
      <c r="H9" s="4">
        <v>0.63414633274078369</v>
      </c>
      <c r="I9" s="4">
        <v>2.4390242993831631E-2</v>
      </c>
      <c r="J9" s="4">
        <v>1</v>
      </c>
      <c r="K9" s="4">
        <v>1</v>
      </c>
      <c r="L9" s="4">
        <v>0.7804877758026123</v>
      </c>
      <c r="M9" s="4">
        <v>0.97560977935791016</v>
      </c>
      <c r="N9" s="4">
        <v>2.4390242993831631E-2</v>
      </c>
      <c r="P9" s="4" cm="1">
        <f t="array" aca="1" ref="P9" ca="1">INDEX(INDIRECT(trust_dq_table),(ROW()-ROW(INDIRECT(trust_dq_cols))),MATCH(selected_dq_name_xc,INDIRECT(trust_dq_cols),0))</f>
        <v>1</v>
      </c>
      <c r="Q9" s="52">
        <f t="shared" ca="1" si="0"/>
        <v>1</v>
      </c>
    </row>
    <row r="10" spans="1:17" x14ac:dyDescent="0.3">
      <c r="A10" s="38" t="s">
        <v>63</v>
      </c>
      <c r="B10" s="38" t="s">
        <v>62</v>
      </c>
      <c r="C10" s="38" t="s">
        <v>42</v>
      </c>
      <c r="D10" s="38" t="s">
        <v>41</v>
      </c>
      <c r="E10" s="2">
        <v>50</v>
      </c>
      <c r="F10" s="2">
        <v>25</v>
      </c>
      <c r="G10" s="4">
        <v>0.6600000262260437</v>
      </c>
      <c r="H10" s="4">
        <v>0.40000000596046448</v>
      </c>
      <c r="I10" s="4">
        <v>0.89999997615814209</v>
      </c>
      <c r="J10" s="4">
        <v>1</v>
      </c>
      <c r="K10" s="4">
        <v>0.87999999523162842</v>
      </c>
      <c r="L10" s="4">
        <v>0.89999997615814209</v>
      </c>
      <c r="M10" s="4">
        <v>0.95999997854232788</v>
      </c>
      <c r="N10" s="4">
        <v>0.5</v>
      </c>
      <c r="P10" s="54" cm="1">
        <f t="array" aca="1" ref="P10" ca="1">INDEX(INDIRECT(trust_dq_table),(ROW()-ROW(INDIRECT(trust_dq_cols))),MATCH(selected_dq_name_xc,INDIRECT(trust_dq_cols),0))</f>
        <v>1</v>
      </c>
      <c r="Q10" s="52">
        <f t="shared" ca="1" si="0"/>
        <v>1</v>
      </c>
    </row>
    <row r="11" spans="1:17" x14ac:dyDescent="0.3">
      <c r="A11" s="38" t="s">
        <v>248</v>
      </c>
      <c r="B11" s="38" t="s">
        <v>247</v>
      </c>
      <c r="C11" s="38" t="s">
        <v>35</v>
      </c>
      <c r="D11" s="3" t="s">
        <v>34</v>
      </c>
      <c r="E11" s="2">
        <v>47</v>
      </c>
      <c r="F11" s="2">
        <v>13</v>
      </c>
      <c r="G11" s="4">
        <v>0.3404255211353302</v>
      </c>
      <c r="H11" s="4">
        <v>0.29787233471870422</v>
      </c>
      <c r="I11" s="4">
        <v>0.40425533056259161</v>
      </c>
      <c r="J11" s="4">
        <v>1</v>
      </c>
      <c r="K11" s="4">
        <v>0.91489362716674805</v>
      </c>
      <c r="L11" s="4">
        <v>0.72340422868728638</v>
      </c>
      <c r="M11" s="4">
        <v>0.97872340679168701</v>
      </c>
      <c r="N11" s="4">
        <v>0.27659574151039118</v>
      </c>
      <c r="P11" s="4" cm="1">
        <f t="array" aca="1" ref="P11" ca="1">INDEX(INDIRECT(trust_dq_table),(ROW()-ROW(INDIRECT(trust_dq_cols))),MATCH(selected_dq_name_xc,INDIRECT(trust_dq_cols),0))</f>
        <v>1</v>
      </c>
      <c r="Q11" s="52">
        <f t="shared" ca="1" si="0"/>
        <v>1</v>
      </c>
    </row>
    <row r="12" spans="1:17" x14ac:dyDescent="0.3">
      <c r="A12" s="38" t="s">
        <v>514</v>
      </c>
      <c r="B12" s="38" t="s">
        <v>233</v>
      </c>
      <c r="C12" s="38" t="s">
        <v>42</v>
      </c>
      <c r="D12" s="38" t="s">
        <v>41</v>
      </c>
      <c r="E12" s="2">
        <v>64</v>
      </c>
      <c r="F12" s="2">
        <v>24</v>
      </c>
      <c r="G12" s="4">
        <v>0.625</v>
      </c>
      <c r="H12" s="4">
        <v>0.640625</v>
      </c>
      <c r="I12" s="4">
        <v>0.875</v>
      </c>
      <c r="J12" s="4">
        <v>1</v>
      </c>
      <c r="K12" s="4">
        <v>0.984375</v>
      </c>
      <c r="L12" s="4">
        <v>0.890625</v>
      </c>
      <c r="M12" s="4">
        <v>1</v>
      </c>
      <c r="N12" s="4">
        <v>0.375</v>
      </c>
      <c r="P12" s="54" cm="1">
        <f t="array" aca="1" ref="P12" ca="1">INDEX(INDIRECT(trust_dq_table),(ROW()-ROW(INDIRECT(trust_dq_cols))),MATCH(selected_dq_name_xc,INDIRECT(trust_dq_cols),0))</f>
        <v>1</v>
      </c>
      <c r="Q12" s="52">
        <f t="shared" ca="1" si="0"/>
        <v>1</v>
      </c>
    </row>
    <row r="13" spans="1:17" x14ac:dyDescent="0.3">
      <c r="A13" s="38" t="s">
        <v>117</v>
      </c>
      <c r="B13" s="38" t="s">
        <v>116</v>
      </c>
      <c r="C13" s="38" t="s">
        <v>8</v>
      </c>
      <c r="D13" s="3" t="s">
        <v>7</v>
      </c>
      <c r="E13" s="2">
        <v>97</v>
      </c>
      <c r="F13" s="2">
        <v>50</v>
      </c>
      <c r="G13" s="4">
        <v>0.40206184983253479</v>
      </c>
      <c r="H13" s="4">
        <v>0.55670100450515747</v>
      </c>
      <c r="I13" s="4">
        <v>0.36082473397254938</v>
      </c>
      <c r="J13" s="4">
        <v>0.68000000715255737</v>
      </c>
      <c r="K13" s="4">
        <v>0.93814432621002197</v>
      </c>
      <c r="L13" s="4">
        <v>0.57731956243515015</v>
      </c>
      <c r="M13" s="4">
        <v>0.98969072103500366</v>
      </c>
      <c r="N13" s="4">
        <v>0.51546388864517212</v>
      </c>
      <c r="P13" s="4" cm="1">
        <f t="array" aca="1" ref="P13" ca="1">INDEX(INDIRECT(trust_dq_table),(ROW()-ROW(INDIRECT(trust_dq_cols))),MATCH(selected_dq_name_xc,INDIRECT(trust_dq_cols),0))</f>
        <v>0.68000000715255737</v>
      </c>
      <c r="Q13" s="52">
        <f t="shared" ca="1" si="0"/>
        <v>109</v>
      </c>
    </row>
    <row r="14" spans="1:17" x14ac:dyDescent="0.3">
      <c r="A14" s="38" t="s">
        <v>184</v>
      </c>
      <c r="B14" s="38" t="s">
        <v>183</v>
      </c>
      <c r="C14" s="38" t="s">
        <v>515</v>
      </c>
      <c r="D14" s="38" t="s">
        <v>38</v>
      </c>
      <c r="E14" s="2">
        <v>52</v>
      </c>
      <c r="F14" s="2">
        <v>30</v>
      </c>
      <c r="G14" s="4">
        <v>0.61538463830947876</v>
      </c>
      <c r="H14" s="4">
        <v>0.32692307233810419</v>
      </c>
      <c r="I14" s="4">
        <v>0.63461536169052124</v>
      </c>
      <c r="J14" s="4">
        <v>0.93333333730697632</v>
      </c>
      <c r="K14" s="4">
        <v>0.94230771064758301</v>
      </c>
      <c r="L14" s="4">
        <v>0.88461536169052124</v>
      </c>
      <c r="M14" s="4">
        <v>0.98076921701431274</v>
      </c>
      <c r="N14" s="4">
        <v>0.57692307233810425</v>
      </c>
      <c r="P14" s="54" cm="1">
        <f t="array" aca="1" ref="P14" ca="1">INDEX(INDIRECT(trust_dq_table),(ROW()-ROW(INDIRECT(trust_dq_cols))),MATCH(selected_dq_name_xc,INDIRECT(trust_dq_cols),0))</f>
        <v>0.93333333730697632</v>
      </c>
      <c r="Q14" s="52">
        <f t="shared" ca="1" si="0"/>
        <v>65</v>
      </c>
    </row>
    <row r="15" spans="1:17" x14ac:dyDescent="0.3">
      <c r="A15" s="38" t="s">
        <v>109</v>
      </c>
      <c r="B15" s="38" t="s">
        <v>108</v>
      </c>
      <c r="C15" s="38" t="s">
        <v>31</v>
      </c>
      <c r="D15" s="3" t="s">
        <v>5</v>
      </c>
      <c r="E15" s="2">
        <v>52</v>
      </c>
      <c r="F15" s="2">
        <v>17</v>
      </c>
      <c r="G15" s="4">
        <v>0.80769228935241699</v>
      </c>
      <c r="H15" s="4">
        <v>0.94230771064758301</v>
      </c>
      <c r="I15" s="4">
        <v>0.28846153616905212</v>
      </c>
      <c r="J15" s="4">
        <v>0.88235294818878174</v>
      </c>
      <c r="K15" s="4">
        <v>1</v>
      </c>
      <c r="L15" s="4">
        <v>0.98076921701431274</v>
      </c>
      <c r="M15" s="4">
        <v>1</v>
      </c>
      <c r="N15" s="4">
        <v>0.32692307233810419</v>
      </c>
      <c r="P15" s="4" cm="1">
        <f t="array" aca="1" ref="P15" ca="1">INDEX(INDIRECT(trust_dq_table),(ROW()-ROW(INDIRECT(trust_dq_cols))),MATCH(selected_dq_name_xc,INDIRECT(trust_dq_cols),0))</f>
        <v>0.88235294818878174</v>
      </c>
      <c r="Q15" s="52">
        <f t="shared" ca="1" si="0"/>
        <v>83</v>
      </c>
    </row>
    <row r="16" spans="1:17" x14ac:dyDescent="0.3">
      <c r="A16" s="38" t="s">
        <v>516</v>
      </c>
      <c r="B16" s="38" t="s">
        <v>82</v>
      </c>
      <c r="C16" s="38" t="s">
        <v>12</v>
      </c>
      <c r="D16" s="38" t="s">
        <v>11</v>
      </c>
      <c r="E16" s="2">
        <v>69</v>
      </c>
      <c r="F16" s="2">
        <v>23</v>
      </c>
      <c r="G16" s="4">
        <v>0.79710143804550171</v>
      </c>
      <c r="H16" s="4">
        <v>0.91304349899291992</v>
      </c>
      <c r="I16" s="4">
        <v>0.31884059309959412</v>
      </c>
      <c r="J16" s="4">
        <v>0.82608693838119507</v>
      </c>
      <c r="K16" s="4">
        <v>0.95652174949645996</v>
      </c>
      <c r="L16" s="4">
        <v>0.37681159377098078</v>
      </c>
      <c r="M16" s="4">
        <v>1</v>
      </c>
      <c r="N16" s="4">
        <v>0.3333333432674408</v>
      </c>
      <c r="P16" s="54" cm="1">
        <f t="array" aca="1" ref="P16" ca="1">INDEX(INDIRECT(trust_dq_table),(ROW()-ROW(INDIRECT(trust_dq_cols))),MATCH(selected_dq_name_xc,INDIRECT(trust_dq_cols),0))</f>
        <v>0.82608693838119507</v>
      </c>
      <c r="Q16" s="52">
        <f t="shared" ca="1" si="0"/>
        <v>96</v>
      </c>
    </row>
    <row r="17" spans="1:17" x14ac:dyDescent="0.3">
      <c r="A17" s="38" t="s">
        <v>517</v>
      </c>
      <c r="B17" s="38" t="s">
        <v>102</v>
      </c>
      <c r="C17" s="38" t="s">
        <v>4</v>
      </c>
      <c r="D17" s="3" t="s">
        <v>3</v>
      </c>
      <c r="E17" s="2">
        <v>60</v>
      </c>
      <c r="F17" s="2">
        <v>35</v>
      </c>
      <c r="G17" s="4">
        <v>0.56666666269302368</v>
      </c>
      <c r="H17" s="4">
        <v>0.86666667461395264</v>
      </c>
      <c r="I17" s="4">
        <v>1</v>
      </c>
      <c r="J17" s="4">
        <v>1</v>
      </c>
      <c r="K17" s="4">
        <v>0.94999998807907104</v>
      </c>
      <c r="L17" s="4">
        <v>0.69999998807907104</v>
      </c>
      <c r="M17" s="4">
        <v>0.96666663885116577</v>
      </c>
      <c r="N17" s="4">
        <v>0.58333331346511841</v>
      </c>
      <c r="P17" s="4" cm="1">
        <f t="array" aca="1" ref="P17" ca="1">INDEX(INDIRECT(trust_dq_table),(ROW()-ROW(INDIRECT(trust_dq_cols))),MATCH(selected_dq_name_xc,INDIRECT(trust_dq_cols),0))</f>
        <v>1</v>
      </c>
      <c r="Q17" s="52">
        <f t="shared" ca="1" si="0"/>
        <v>1</v>
      </c>
    </row>
    <row r="18" spans="1:17" x14ac:dyDescent="0.3">
      <c r="A18" s="38" t="s">
        <v>518</v>
      </c>
      <c r="B18" s="38" t="s">
        <v>142</v>
      </c>
      <c r="C18" s="38" t="s">
        <v>4</v>
      </c>
      <c r="D18" s="38" t="s">
        <v>3</v>
      </c>
      <c r="E18" s="2">
        <v>23</v>
      </c>
      <c r="F18" s="2">
        <v>6</v>
      </c>
      <c r="G18" s="4">
        <v>0.43478259444236761</v>
      </c>
      <c r="H18" s="4">
        <v>0.2173912972211838</v>
      </c>
      <c r="I18" s="4">
        <v>0.30434781312942499</v>
      </c>
      <c r="J18" s="4">
        <v>1</v>
      </c>
      <c r="K18" s="4">
        <v>1</v>
      </c>
      <c r="L18" s="4">
        <v>0.91304349899291992</v>
      </c>
      <c r="M18" s="4">
        <v>1</v>
      </c>
      <c r="N18" s="4">
        <v>0.26086956262588501</v>
      </c>
      <c r="P18" s="54" cm="1">
        <f t="array" aca="1" ref="P18" ca="1">INDEX(INDIRECT(trust_dq_table),(ROW()-ROW(INDIRECT(trust_dq_cols))),MATCH(selected_dq_name_xc,INDIRECT(trust_dq_cols),0))</f>
        <v>1</v>
      </c>
      <c r="Q18" s="52">
        <f t="shared" ca="1" si="0"/>
        <v>1</v>
      </c>
    </row>
    <row r="19" spans="1:17" x14ac:dyDescent="0.3">
      <c r="A19" s="38" t="s">
        <v>246</v>
      </c>
      <c r="B19" s="38" t="s">
        <v>245</v>
      </c>
      <c r="C19" s="38" t="s">
        <v>24</v>
      </c>
      <c r="D19" s="3" t="s">
        <v>23</v>
      </c>
      <c r="E19" s="2">
        <v>77</v>
      </c>
      <c r="F19" s="2">
        <v>30</v>
      </c>
      <c r="G19" s="4">
        <v>0.40259739756584167</v>
      </c>
      <c r="H19" s="4">
        <v>0.80519479513168335</v>
      </c>
      <c r="I19" s="4">
        <v>0.45454546809196472</v>
      </c>
      <c r="J19" s="4">
        <v>0.96666663885116577</v>
      </c>
      <c r="K19" s="4">
        <v>0.97402596473693848</v>
      </c>
      <c r="L19" s="4">
        <v>0.77922075986862183</v>
      </c>
      <c r="M19" s="4">
        <v>1</v>
      </c>
      <c r="N19" s="4">
        <v>0.38961037993431091</v>
      </c>
      <c r="P19" s="4" cm="1">
        <f t="array" aca="1" ref="P19" ca="1">INDEX(INDIRECT(trust_dq_table),(ROW()-ROW(INDIRECT(trust_dq_cols))),MATCH(selected_dq_name_xc,INDIRECT(trust_dq_cols),0))</f>
        <v>0.96666663885116577</v>
      </c>
      <c r="Q19" s="52">
        <f t="shared" ca="1" si="0"/>
        <v>53</v>
      </c>
    </row>
    <row r="20" spans="1:17" x14ac:dyDescent="0.3">
      <c r="A20" s="38" t="s">
        <v>133</v>
      </c>
      <c r="B20" s="38" t="s">
        <v>132</v>
      </c>
      <c r="C20" s="38" t="s">
        <v>515</v>
      </c>
      <c r="D20" s="38" t="s">
        <v>38</v>
      </c>
      <c r="E20" s="2">
        <v>24</v>
      </c>
      <c r="F20" s="2">
        <v>11</v>
      </c>
      <c r="G20" s="4">
        <v>0.5</v>
      </c>
      <c r="H20" s="4">
        <v>0.75</v>
      </c>
      <c r="I20" s="4">
        <v>0.25</v>
      </c>
      <c r="J20" s="4">
        <v>0.18181818723678589</v>
      </c>
      <c r="K20" s="4">
        <v>0.91666668653488159</v>
      </c>
      <c r="L20" s="4">
        <v>0.83333331346511841</v>
      </c>
      <c r="M20" s="4">
        <v>0.91666668653488159</v>
      </c>
      <c r="N20" s="4">
        <v>0.4583333432674408</v>
      </c>
      <c r="P20" s="54" cm="1">
        <f t="array" aca="1" ref="P20" ca="1">INDEX(INDIRECT(trust_dq_table),(ROW()-ROW(INDIRECT(trust_dq_cols))),MATCH(selected_dq_name_xc,INDIRECT(trust_dq_cols),0))</f>
        <v>0.18181818723678589</v>
      </c>
      <c r="Q20" s="52">
        <f t="shared" ca="1" si="0"/>
        <v>122</v>
      </c>
    </row>
    <row r="21" spans="1:17" x14ac:dyDescent="0.3">
      <c r="A21" s="38" t="s">
        <v>168</v>
      </c>
      <c r="B21" s="38" t="s">
        <v>167</v>
      </c>
      <c r="C21" s="38" t="s">
        <v>16</v>
      </c>
      <c r="D21" s="3" t="s">
        <v>15</v>
      </c>
      <c r="E21" s="2">
        <v>57</v>
      </c>
      <c r="F21" s="2">
        <v>19</v>
      </c>
      <c r="G21" s="4">
        <v>0.68421053886413574</v>
      </c>
      <c r="H21" s="4">
        <v>0.77192980051040649</v>
      </c>
      <c r="I21" s="4">
        <v>0.29824560880661011</v>
      </c>
      <c r="J21" s="4">
        <v>0.68421053886413574</v>
      </c>
      <c r="K21" s="4">
        <v>1</v>
      </c>
      <c r="L21" s="4">
        <v>0.87719297409057617</v>
      </c>
      <c r="M21" s="4">
        <v>0.9649122953414917</v>
      </c>
      <c r="N21" s="4">
        <v>0.3333333432674408</v>
      </c>
      <c r="P21" s="4" cm="1">
        <f t="array" aca="1" ref="P21" ca="1">INDEX(INDIRECT(trust_dq_table),(ROW()-ROW(INDIRECT(trust_dq_cols))),MATCH(selected_dq_name_xc,INDIRECT(trust_dq_cols),0))</f>
        <v>0.68421053886413574</v>
      </c>
      <c r="Q21" s="52">
        <f t="shared" ca="1" si="0"/>
        <v>108</v>
      </c>
    </row>
    <row r="22" spans="1:17" x14ac:dyDescent="0.3">
      <c r="A22" s="38" t="s">
        <v>179</v>
      </c>
      <c r="B22" s="38" t="s">
        <v>178</v>
      </c>
      <c r="C22" s="38" t="s">
        <v>31</v>
      </c>
      <c r="D22" s="38" t="s">
        <v>30</v>
      </c>
      <c r="E22" s="2">
        <v>50</v>
      </c>
      <c r="F22" s="2">
        <v>5</v>
      </c>
      <c r="G22" s="4">
        <v>3.9999999105930328E-2</v>
      </c>
      <c r="H22" s="4">
        <v>0.2199999988079071</v>
      </c>
      <c r="I22" s="4">
        <v>0.10000000149011611</v>
      </c>
      <c r="J22" s="4">
        <v>1</v>
      </c>
      <c r="K22" s="4">
        <v>0.86000001430511475</v>
      </c>
      <c r="L22" s="4">
        <v>0.41999998688697809</v>
      </c>
      <c r="M22" s="4">
        <v>0.95999997854232788</v>
      </c>
      <c r="N22" s="4">
        <v>0.10000000149011611</v>
      </c>
      <c r="P22" s="54" cm="1">
        <f t="array" aca="1" ref="P22" ca="1">INDEX(INDIRECT(trust_dq_table),(ROW()-ROW(INDIRECT(trust_dq_cols))),MATCH(selected_dq_name_xc,INDIRECT(trust_dq_cols),0))</f>
        <v>1</v>
      </c>
      <c r="Q22" s="52">
        <f t="shared" ca="1" si="0"/>
        <v>1</v>
      </c>
    </row>
    <row r="23" spans="1:17" x14ac:dyDescent="0.3">
      <c r="A23" s="38" t="s">
        <v>74</v>
      </c>
      <c r="B23" s="38" t="s">
        <v>73</v>
      </c>
      <c r="C23" s="38" t="s">
        <v>37</v>
      </c>
      <c r="D23" s="3" t="s">
        <v>36</v>
      </c>
      <c r="E23" s="2">
        <v>43</v>
      </c>
      <c r="F23" s="2">
        <v>5</v>
      </c>
      <c r="G23" s="4">
        <v>0.86046510934829712</v>
      </c>
      <c r="H23" s="4">
        <v>0.79069769382476807</v>
      </c>
      <c r="I23" s="4">
        <v>0.30232557654380798</v>
      </c>
      <c r="J23" s="4">
        <v>0.80000001192092896</v>
      </c>
      <c r="K23" s="4">
        <v>0.90697675943374634</v>
      </c>
      <c r="L23" s="4">
        <v>0.97674417495727539</v>
      </c>
      <c r="M23" s="4">
        <v>0.95348834991455078</v>
      </c>
      <c r="N23" s="4">
        <v>0.1162790730595589</v>
      </c>
      <c r="P23" s="4" cm="1">
        <f t="array" aca="1" ref="P23" ca="1">INDEX(INDIRECT(trust_dq_table),(ROW()-ROW(INDIRECT(trust_dq_cols))),MATCH(selected_dq_name_xc,INDIRECT(trust_dq_cols),0))</f>
        <v>0.80000001192092896</v>
      </c>
      <c r="Q23" s="52">
        <f t="shared" ca="1" si="0"/>
        <v>103</v>
      </c>
    </row>
    <row r="24" spans="1:17" x14ac:dyDescent="0.3">
      <c r="A24" s="38" t="s">
        <v>519</v>
      </c>
      <c r="B24" s="38" t="s">
        <v>169</v>
      </c>
      <c r="C24" s="38" t="s">
        <v>40</v>
      </c>
      <c r="D24" s="38" t="s">
        <v>39</v>
      </c>
      <c r="E24" s="2">
        <v>76</v>
      </c>
      <c r="F24" s="2">
        <v>32</v>
      </c>
      <c r="G24" s="4">
        <v>0.61842107772827148</v>
      </c>
      <c r="H24" s="4">
        <v>0.73684209585189819</v>
      </c>
      <c r="I24" s="4">
        <v>0.55263155698776245</v>
      </c>
      <c r="J24" s="4">
        <v>1</v>
      </c>
      <c r="K24" s="4">
        <v>0.98684209585189819</v>
      </c>
      <c r="L24" s="4">
        <v>0.98684209585189819</v>
      </c>
      <c r="M24" s="4">
        <v>0.98684209585189819</v>
      </c>
      <c r="N24" s="4">
        <v>0.42105263471603388</v>
      </c>
      <c r="P24" s="54" cm="1">
        <f t="array" aca="1" ref="P24" ca="1">INDEX(INDIRECT(trust_dq_table),(ROW()-ROW(INDIRECT(trust_dq_cols))),MATCH(selected_dq_name_xc,INDIRECT(trust_dq_cols),0))</f>
        <v>1</v>
      </c>
      <c r="Q24" s="52">
        <f t="shared" ca="1" si="0"/>
        <v>1</v>
      </c>
    </row>
    <row r="25" spans="1:17" x14ac:dyDescent="0.3">
      <c r="A25" s="38" t="s">
        <v>227</v>
      </c>
      <c r="B25" s="38" t="s">
        <v>226</v>
      </c>
      <c r="C25" s="38" t="s">
        <v>10</v>
      </c>
      <c r="D25" s="38" t="s">
        <v>9</v>
      </c>
      <c r="E25" s="2">
        <v>52</v>
      </c>
      <c r="F25" s="2">
        <v>12</v>
      </c>
      <c r="G25" s="4">
        <v>0</v>
      </c>
      <c r="H25" s="4">
        <v>0.115384615957737</v>
      </c>
      <c r="I25" s="4">
        <v>0.25</v>
      </c>
      <c r="J25" s="4">
        <v>1</v>
      </c>
      <c r="K25" s="4">
        <v>0.98076921701431274</v>
      </c>
      <c r="L25" s="4">
        <v>0.67307692766189575</v>
      </c>
      <c r="M25" s="4">
        <v>0.94230771064758301</v>
      </c>
      <c r="N25" s="4">
        <v>0.23076923191547391</v>
      </c>
      <c r="P25" s="54" cm="1">
        <f t="array" aca="1" ref="P25" ca="1">INDEX(INDIRECT(trust_dq_table),(ROW()-ROW(INDIRECT(trust_dq_cols))),MATCH(selected_dq_name_xc,INDIRECT(trust_dq_cols),0))</f>
        <v>1</v>
      </c>
      <c r="Q25" s="52">
        <f t="shared" ca="1" si="0"/>
        <v>1</v>
      </c>
    </row>
    <row r="26" spans="1:17" x14ac:dyDescent="0.3">
      <c r="A26" s="38" t="s">
        <v>141</v>
      </c>
      <c r="B26" s="38" t="s">
        <v>140</v>
      </c>
      <c r="C26" s="38" t="s">
        <v>4</v>
      </c>
      <c r="D26" s="3" t="s">
        <v>3</v>
      </c>
      <c r="E26" s="2">
        <v>27</v>
      </c>
      <c r="F26" s="2">
        <v>7</v>
      </c>
      <c r="G26" s="4">
        <v>0.3333333432674408</v>
      </c>
      <c r="H26" s="4">
        <v>0.51851850748062134</v>
      </c>
      <c r="I26" s="4">
        <v>0.48148149251937872</v>
      </c>
      <c r="J26" s="4">
        <v>1</v>
      </c>
      <c r="K26" s="4">
        <v>0.96296298503875732</v>
      </c>
      <c r="L26" s="4">
        <v>0.85185188055038452</v>
      </c>
      <c r="M26" s="4">
        <v>0.92592591047286987</v>
      </c>
      <c r="N26" s="4">
        <v>0.25925925374031072</v>
      </c>
      <c r="P26" s="4" cm="1">
        <f t="array" aca="1" ref="P26" ca="1">INDEX(INDIRECT(trust_dq_table),(ROW()-ROW(INDIRECT(trust_dq_cols))),MATCH(selected_dq_name_xc,INDIRECT(trust_dq_cols),0))</f>
        <v>1</v>
      </c>
      <c r="Q26" s="52">
        <f t="shared" ca="1" si="0"/>
        <v>1</v>
      </c>
    </row>
    <row r="27" spans="1:17" x14ac:dyDescent="0.3">
      <c r="A27" s="38" t="s">
        <v>216</v>
      </c>
      <c r="B27" s="38" t="s">
        <v>215</v>
      </c>
      <c r="C27" s="38" t="s">
        <v>16</v>
      </c>
      <c r="D27" s="38" t="s">
        <v>15</v>
      </c>
      <c r="E27" s="2">
        <v>135</v>
      </c>
      <c r="F27" s="2">
        <v>43</v>
      </c>
      <c r="G27" s="4">
        <v>0.49629628658294678</v>
      </c>
      <c r="H27" s="4">
        <v>0.79259258508682251</v>
      </c>
      <c r="I27" s="4">
        <v>0.46666666865348821</v>
      </c>
      <c r="J27" s="4">
        <v>1</v>
      </c>
      <c r="K27" s="4">
        <v>0.97777777910232544</v>
      </c>
      <c r="L27" s="4">
        <v>0.77777779102325439</v>
      </c>
      <c r="M27" s="4">
        <v>0.93333333730697632</v>
      </c>
      <c r="N27" s="4">
        <v>0.31851851940155029</v>
      </c>
      <c r="P27" s="54" cm="1">
        <f t="array" aca="1" ref="P27" ca="1">INDEX(INDIRECT(trust_dq_table),(ROW()-ROW(INDIRECT(trust_dq_cols))),MATCH(selected_dq_name_xc,INDIRECT(trust_dq_cols),0))</f>
        <v>1</v>
      </c>
      <c r="Q27" s="52">
        <f t="shared" ca="1" si="0"/>
        <v>1</v>
      </c>
    </row>
    <row r="28" spans="1:17" x14ac:dyDescent="0.3">
      <c r="A28" s="38" t="s">
        <v>250</v>
      </c>
      <c r="B28" s="38" t="s">
        <v>249</v>
      </c>
      <c r="C28" s="38" t="s">
        <v>18</v>
      </c>
      <c r="D28" s="3" t="s">
        <v>17</v>
      </c>
      <c r="E28" s="2">
        <v>132</v>
      </c>
      <c r="F28" s="2">
        <v>68</v>
      </c>
      <c r="G28" s="4">
        <v>0.46969696879386902</v>
      </c>
      <c r="H28" s="4">
        <v>0.84848487377166748</v>
      </c>
      <c r="I28" s="4">
        <v>0.57575756311416626</v>
      </c>
      <c r="J28" s="4">
        <v>0.98529410362243652</v>
      </c>
      <c r="K28" s="4">
        <v>0.93939393758773804</v>
      </c>
      <c r="L28" s="4">
        <v>1</v>
      </c>
      <c r="M28" s="4">
        <v>0.97727274894714355</v>
      </c>
      <c r="N28" s="4">
        <v>0.5151515007019043</v>
      </c>
      <c r="P28" s="4" cm="1">
        <f t="array" aca="1" ref="P28" ca="1">INDEX(INDIRECT(trust_dq_table),(ROW()-ROW(INDIRECT(trust_dq_cols))),MATCH(selected_dq_name_xc,INDIRECT(trust_dq_cols),0))</f>
        <v>0.98529410362243652</v>
      </c>
      <c r="Q28" s="52">
        <f t="shared" ca="1" si="0"/>
        <v>48</v>
      </c>
    </row>
    <row r="29" spans="1:17" x14ac:dyDescent="0.3">
      <c r="A29" s="38" t="s">
        <v>95</v>
      </c>
      <c r="B29" s="38" t="s">
        <v>94</v>
      </c>
      <c r="C29" s="38" t="s">
        <v>8</v>
      </c>
      <c r="D29" s="38" t="s">
        <v>7</v>
      </c>
      <c r="E29" s="2">
        <v>149</v>
      </c>
      <c r="F29" s="2">
        <v>57</v>
      </c>
      <c r="G29" s="4">
        <v>0.39597314596176147</v>
      </c>
      <c r="H29" s="4">
        <v>0.73154360055923462</v>
      </c>
      <c r="I29" s="4">
        <v>0.53020131587982178</v>
      </c>
      <c r="J29" s="4">
        <v>0.91228067874908447</v>
      </c>
      <c r="K29" s="4">
        <v>0.96644294261932373</v>
      </c>
      <c r="L29" s="4">
        <v>0.83892619609832764</v>
      </c>
      <c r="M29" s="4">
        <v>0.98657715320587158</v>
      </c>
      <c r="N29" s="4">
        <v>0.38255032896995539</v>
      </c>
      <c r="P29" s="54" cm="1">
        <f t="array" aca="1" ref="P29" ca="1">INDEX(INDIRECT(trust_dq_table),(ROW()-ROW(INDIRECT(trust_dq_cols))),MATCH(selected_dq_name_xc,INDIRECT(trust_dq_cols),0))</f>
        <v>0.91228067874908447</v>
      </c>
      <c r="Q29" s="52">
        <f t="shared" ca="1" si="0"/>
        <v>72</v>
      </c>
    </row>
    <row r="30" spans="1:17" x14ac:dyDescent="0.3">
      <c r="A30" s="38" t="s">
        <v>237</v>
      </c>
      <c r="B30" s="38" t="s">
        <v>236</v>
      </c>
      <c r="C30" s="38" t="s">
        <v>33</v>
      </c>
      <c r="D30" s="3" t="s">
        <v>32</v>
      </c>
      <c r="E30" s="2">
        <v>66</v>
      </c>
      <c r="F30" s="2">
        <v>15</v>
      </c>
      <c r="G30" s="4">
        <v>0.65151512622833252</v>
      </c>
      <c r="H30" s="4">
        <v>0.18181818723678589</v>
      </c>
      <c r="I30" s="4">
        <v>0.28787878155708307</v>
      </c>
      <c r="J30" s="4">
        <v>0.93333333730697632</v>
      </c>
      <c r="K30" s="4">
        <v>0.96969699859619141</v>
      </c>
      <c r="L30" s="4">
        <v>0.4848484992980957</v>
      </c>
      <c r="M30" s="4">
        <v>0.83333331346511841</v>
      </c>
      <c r="N30" s="4">
        <v>0.22727273404598239</v>
      </c>
      <c r="P30" s="4" cm="1">
        <f t="array" aca="1" ref="P30" ca="1">INDEX(INDIRECT(trust_dq_table),(ROW()-ROW(INDIRECT(trust_dq_cols))),MATCH(selected_dq_name_xc,INDIRECT(trust_dq_cols),0))</f>
        <v>0.93333333730697632</v>
      </c>
      <c r="Q30" s="52">
        <f t="shared" ca="1" si="0"/>
        <v>65</v>
      </c>
    </row>
    <row r="31" spans="1:17" x14ac:dyDescent="0.3">
      <c r="A31" s="38" t="s">
        <v>520</v>
      </c>
      <c r="B31" s="38" t="s">
        <v>214</v>
      </c>
      <c r="C31" s="38" t="s">
        <v>515</v>
      </c>
      <c r="D31" s="38" t="s">
        <v>38</v>
      </c>
      <c r="E31" s="2">
        <v>43</v>
      </c>
      <c r="F31" s="2">
        <v>26</v>
      </c>
      <c r="G31" s="4">
        <v>0.58139532804489136</v>
      </c>
      <c r="H31" s="4">
        <v>0.5116279125213623</v>
      </c>
      <c r="I31" s="4">
        <v>0.74418604373931885</v>
      </c>
      <c r="J31" s="4">
        <v>1</v>
      </c>
      <c r="K31" s="4">
        <v>0.97674417495727539</v>
      </c>
      <c r="L31" s="4">
        <v>0.74418604373931885</v>
      </c>
      <c r="M31" s="4">
        <v>1</v>
      </c>
      <c r="N31" s="4">
        <v>0.60465115308761597</v>
      </c>
      <c r="P31" s="54" cm="1">
        <f t="array" aca="1" ref="P31" ca="1">INDEX(INDIRECT(trust_dq_table),(ROW()-ROW(INDIRECT(trust_dq_cols))),MATCH(selected_dq_name_xc,INDIRECT(trust_dq_cols),0))</f>
        <v>1</v>
      </c>
      <c r="Q31" s="52">
        <f t="shared" ca="1" si="0"/>
        <v>1</v>
      </c>
    </row>
    <row r="32" spans="1:17" x14ac:dyDescent="0.3">
      <c r="A32" s="38" t="s">
        <v>97</v>
      </c>
      <c r="B32" s="38" t="s">
        <v>96</v>
      </c>
      <c r="C32" s="38" t="s">
        <v>33</v>
      </c>
      <c r="D32" s="3" t="s">
        <v>32</v>
      </c>
      <c r="E32" s="2">
        <v>101</v>
      </c>
      <c r="F32" s="2">
        <v>30</v>
      </c>
      <c r="G32" s="4">
        <v>0.68316829204559326</v>
      </c>
      <c r="H32" s="4">
        <v>0.82178217172622681</v>
      </c>
      <c r="I32" s="4">
        <v>0.3663366436958313</v>
      </c>
      <c r="J32" s="4">
        <v>0.86666667461395264</v>
      </c>
      <c r="K32" s="4">
        <v>0.75247526168823242</v>
      </c>
      <c r="L32" s="4">
        <v>0.96039605140686035</v>
      </c>
      <c r="M32" s="4">
        <v>0.94059407711029053</v>
      </c>
      <c r="N32" s="4">
        <v>0.29702970385551453</v>
      </c>
      <c r="P32" s="4" cm="1">
        <f t="array" aca="1" ref="P32" ca="1">INDEX(INDIRECT(trust_dq_table),(ROW()-ROW(INDIRECT(trust_dq_cols))),MATCH(selected_dq_name_xc,INDIRECT(trust_dq_cols),0))</f>
        <v>0.86666667461395264</v>
      </c>
      <c r="Q32" s="52">
        <f t="shared" ca="1" si="0"/>
        <v>87</v>
      </c>
    </row>
    <row r="33" spans="1:17" x14ac:dyDescent="0.3">
      <c r="A33" s="38" t="s">
        <v>188</v>
      </c>
      <c r="B33" s="38" t="s">
        <v>187</v>
      </c>
      <c r="C33" s="38" t="s">
        <v>24</v>
      </c>
      <c r="D33" s="38" t="s">
        <v>23</v>
      </c>
      <c r="E33" s="2">
        <v>29</v>
      </c>
      <c r="F33" s="2">
        <v>9</v>
      </c>
      <c r="G33" s="4">
        <v>0.31034481525421143</v>
      </c>
      <c r="H33" s="4">
        <v>0.41379311680793762</v>
      </c>
      <c r="I33" s="4">
        <v>0.41379311680793762</v>
      </c>
      <c r="J33" s="4">
        <v>1</v>
      </c>
      <c r="K33" s="4">
        <v>0.96551722288131714</v>
      </c>
      <c r="L33" s="4">
        <v>0.72413790225982666</v>
      </c>
      <c r="M33" s="4">
        <v>0.89655172824859619</v>
      </c>
      <c r="N33" s="4">
        <v>0.31034481525421143</v>
      </c>
      <c r="P33" s="54" cm="1">
        <f t="array" aca="1" ref="P33" ca="1">INDEX(INDIRECT(trust_dq_table),(ROW()-ROW(INDIRECT(trust_dq_cols))),MATCH(selected_dq_name_xc,INDIRECT(trust_dq_cols),0))</f>
        <v>1</v>
      </c>
      <c r="Q33" s="52">
        <f t="shared" ca="1" si="0"/>
        <v>1</v>
      </c>
    </row>
    <row r="34" spans="1:17" x14ac:dyDescent="0.3">
      <c r="A34" s="38" t="s">
        <v>155</v>
      </c>
      <c r="B34" s="38" t="s">
        <v>154</v>
      </c>
      <c r="C34" s="38" t="s">
        <v>40</v>
      </c>
      <c r="D34" s="3" t="s">
        <v>39</v>
      </c>
      <c r="E34" s="2">
        <v>27</v>
      </c>
      <c r="F34" s="2">
        <v>9</v>
      </c>
      <c r="G34" s="4">
        <v>0.59259259700775146</v>
      </c>
      <c r="H34" s="4">
        <v>0.92592591047286987</v>
      </c>
      <c r="I34" s="4">
        <v>0.40740740299224848</v>
      </c>
      <c r="J34" s="4">
        <v>1</v>
      </c>
      <c r="K34" s="4">
        <v>0.96296298503875732</v>
      </c>
      <c r="L34" s="4">
        <v>0.92592591047286987</v>
      </c>
      <c r="M34" s="4">
        <v>1</v>
      </c>
      <c r="N34" s="4">
        <v>0.3333333432674408</v>
      </c>
      <c r="P34" s="4" cm="1">
        <f t="array" aca="1" ref="P34" ca="1">INDEX(INDIRECT(trust_dq_table),(ROW()-ROW(INDIRECT(trust_dq_cols))),MATCH(selected_dq_name_xc,INDIRECT(trust_dq_cols),0))</f>
        <v>1</v>
      </c>
      <c r="Q34" s="52">
        <f t="shared" ref="Q34:Q65" ca="1" si="1">RANK(P34,P:P,0)</f>
        <v>1</v>
      </c>
    </row>
    <row r="35" spans="1:17" x14ac:dyDescent="0.3">
      <c r="A35" s="38" t="s">
        <v>199</v>
      </c>
      <c r="B35" s="38" t="s">
        <v>198</v>
      </c>
      <c r="C35" s="38" t="s">
        <v>521</v>
      </c>
      <c r="D35" s="38" t="s">
        <v>26</v>
      </c>
      <c r="E35" s="2">
        <v>115</v>
      </c>
      <c r="F35" s="2">
        <v>38</v>
      </c>
      <c r="G35" s="4">
        <v>0.6608695387840271</v>
      </c>
      <c r="H35" s="4">
        <v>0.93913042545318604</v>
      </c>
      <c r="I35" s="4">
        <v>0.20000000298023221</v>
      </c>
      <c r="J35" s="4">
        <v>0.39473685622215271</v>
      </c>
      <c r="K35" s="4">
        <v>0.947826087474823</v>
      </c>
      <c r="L35" s="4">
        <v>0.95652174949645996</v>
      </c>
      <c r="M35" s="4">
        <v>0.97391301393508911</v>
      </c>
      <c r="N35" s="4">
        <v>0.33043476939201349</v>
      </c>
      <c r="P35" s="54" cm="1">
        <f t="array" aca="1" ref="P35" ca="1">INDEX(INDIRECT(trust_dq_table),(ROW()-ROW(INDIRECT(trust_dq_cols))),MATCH(selected_dq_name_xc,INDIRECT(trust_dq_cols),0))</f>
        <v>0.39473685622215271</v>
      </c>
      <c r="Q35" s="52">
        <f t="shared" ca="1" si="1"/>
        <v>118</v>
      </c>
    </row>
    <row r="36" spans="1:17" x14ac:dyDescent="0.3">
      <c r="A36" s="38" t="s">
        <v>164</v>
      </c>
      <c r="B36" s="38" t="s">
        <v>163</v>
      </c>
      <c r="C36" s="38" t="s">
        <v>35</v>
      </c>
      <c r="D36" s="3" t="s">
        <v>26</v>
      </c>
      <c r="E36" s="2">
        <v>80</v>
      </c>
      <c r="F36" s="2">
        <v>20</v>
      </c>
      <c r="G36" s="4">
        <v>0.66250002384185791</v>
      </c>
      <c r="H36" s="4">
        <v>0.85000002384185791</v>
      </c>
      <c r="I36" s="4">
        <v>0.40000000596046448</v>
      </c>
      <c r="J36" s="4">
        <v>0.89999997615814209</v>
      </c>
      <c r="K36" s="4">
        <v>0.9375</v>
      </c>
      <c r="L36" s="4">
        <v>0.96249997615814209</v>
      </c>
      <c r="M36" s="4">
        <v>0.98750001192092896</v>
      </c>
      <c r="N36" s="4">
        <v>0.25</v>
      </c>
      <c r="P36" s="4" cm="1">
        <f t="array" aca="1" ref="P36" ca="1">INDEX(INDIRECT(trust_dq_table),(ROW()-ROW(INDIRECT(trust_dq_cols))),MATCH(selected_dq_name_xc,INDIRECT(trust_dq_cols),0))</f>
        <v>0.89999997615814209</v>
      </c>
      <c r="Q36" s="52">
        <f t="shared" ca="1" si="1"/>
        <v>74</v>
      </c>
    </row>
    <row r="37" spans="1:17" x14ac:dyDescent="0.3">
      <c r="A37" s="38" t="s">
        <v>129</v>
      </c>
      <c r="B37" s="38" t="s">
        <v>128</v>
      </c>
      <c r="C37" s="38" t="s">
        <v>29</v>
      </c>
      <c r="D37" s="38" t="s">
        <v>28</v>
      </c>
      <c r="E37" s="2">
        <v>51</v>
      </c>
      <c r="F37" s="2">
        <v>34</v>
      </c>
      <c r="G37" s="4">
        <v>0.56862747669219971</v>
      </c>
      <c r="H37" s="4">
        <v>0.49019607901573181</v>
      </c>
      <c r="I37" s="4">
        <v>0.80392158031463623</v>
      </c>
      <c r="J37" s="4">
        <v>0.94117647409439087</v>
      </c>
      <c r="K37" s="4">
        <v>0.98039215803146362</v>
      </c>
      <c r="L37" s="4">
        <v>0.84313726425170898</v>
      </c>
      <c r="M37" s="4">
        <v>0.94117647409439087</v>
      </c>
      <c r="N37" s="4">
        <v>0.66666668653488159</v>
      </c>
      <c r="P37" s="54" cm="1">
        <f t="array" aca="1" ref="P37" ca="1">INDEX(INDIRECT(trust_dq_table),(ROW()-ROW(INDIRECT(trust_dq_cols))),MATCH(selected_dq_name_xc,INDIRECT(trust_dq_cols),0))</f>
        <v>0.94117647409439087</v>
      </c>
      <c r="Q37" s="52">
        <f t="shared" ca="1" si="1"/>
        <v>62</v>
      </c>
    </row>
    <row r="38" spans="1:17" x14ac:dyDescent="0.3">
      <c r="A38" s="38" t="s">
        <v>166</v>
      </c>
      <c r="B38" s="38" t="s">
        <v>165</v>
      </c>
      <c r="C38" s="38" t="s">
        <v>37</v>
      </c>
      <c r="D38" s="3" t="s">
        <v>36</v>
      </c>
      <c r="E38" s="2">
        <v>102</v>
      </c>
      <c r="F38" s="2">
        <v>20</v>
      </c>
      <c r="G38" s="4">
        <v>0.55882352590560913</v>
      </c>
      <c r="H38" s="4">
        <v>0.89215683937072754</v>
      </c>
      <c r="I38" s="4">
        <v>0.39215686917304993</v>
      </c>
      <c r="J38" s="4">
        <v>1</v>
      </c>
      <c r="K38" s="4">
        <v>0.95098036527633667</v>
      </c>
      <c r="L38" s="4">
        <v>0.91176468133926392</v>
      </c>
      <c r="M38" s="4">
        <v>0.95098036527633667</v>
      </c>
      <c r="N38" s="4">
        <v>0.19607843458652499</v>
      </c>
      <c r="P38" s="4" cm="1">
        <f t="array" aca="1" ref="P38" ca="1">INDEX(INDIRECT(trust_dq_table),(ROW()-ROW(INDIRECT(trust_dq_cols))),MATCH(selected_dq_name_xc,INDIRECT(trust_dq_cols),0))</f>
        <v>1</v>
      </c>
      <c r="Q38" s="52">
        <f t="shared" ca="1" si="1"/>
        <v>1</v>
      </c>
    </row>
    <row r="39" spans="1:17" x14ac:dyDescent="0.3">
      <c r="A39" s="38" t="s">
        <v>87</v>
      </c>
      <c r="B39" s="38" t="s">
        <v>86</v>
      </c>
      <c r="C39" s="38" t="s">
        <v>42</v>
      </c>
      <c r="D39" s="38" t="s">
        <v>13</v>
      </c>
      <c r="E39" s="2">
        <v>46</v>
      </c>
      <c r="F39" s="2">
        <v>16</v>
      </c>
      <c r="G39" s="4">
        <v>0.80434781312942505</v>
      </c>
      <c r="H39" s="4">
        <v>0.39130434393882751</v>
      </c>
      <c r="I39" s="4">
        <v>0.8913043737411499</v>
      </c>
      <c r="J39" s="4">
        <v>0.9375</v>
      </c>
      <c r="K39" s="4">
        <v>0.93478262424468994</v>
      </c>
      <c r="L39" s="4">
        <v>0.93478262424468994</v>
      </c>
      <c r="M39" s="4">
        <v>1</v>
      </c>
      <c r="N39" s="4">
        <v>0.34782609343528748</v>
      </c>
      <c r="P39" s="54" cm="1">
        <f t="array" aca="1" ref="P39" ca="1">INDEX(INDIRECT(trust_dq_table),(ROW()-ROW(INDIRECT(trust_dq_cols))),MATCH(selected_dq_name_xc,INDIRECT(trust_dq_cols),0))</f>
        <v>0.9375</v>
      </c>
      <c r="Q39" s="52">
        <f t="shared" ca="1" si="1"/>
        <v>64</v>
      </c>
    </row>
    <row r="40" spans="1:17" x14ac:dyDescent="0.3">
      <c r="A40" s="38" t="s">
        <v>522</v>
      </c>
      <c r="B40" s="38" t="s">
        <v>70</v>
      </c>
      <c r="C40" s="38" t="s">
        <v>515</v>
      </c>
      <c r="D40" s="3" t="s">
        <v>38</v>
      </c>
      <c r="E40" s="2">
        <v>30</v>
      </c>
      <c r="F40" s="2">
        <v>5</v>
      </c>
      <c r="G40" s="4">
        <v>0.60000002384185791</v>
      </c>
      <c r="H40" s="4">
        <v>0.80000001192092896</v>
      </c>
      <c r="I40" s="4">
        <v>0.20000000298023221</v>
      </c>
      <c r="J40" s="4">
        <v>0.60000002384185791</v>
      </c>
      <c r="K40" s="4">
        <v>1</v>
      </c>
      <c r="L40" s="4">
        <v>0.80000001192092896</v>
      </c>
      <c r="M40" s="4">
        <v>1</v>
      </c>
      <c r="N40" s="4">
        <v>0.1666666716337204</v>
      </c>
      <c r="P40" s="4" cm="1">
        <f t="array" aca="1" ref="P40" ca="1">INDEX(INDIRECT(trust_dq_table),(ROW()-ROW(INDIRECT(trust_dq_cols))),MATCH(selected_dq_name_xc,INDIRECT(trust_dq_cols),0))</f>
        <v>0.60000002384185791</v>
      </c>
      <c r="Q40" s="52">
        <f t="shared" ca="1" si="1"/>
        <v>114</v>
      </c>
    </row>
    <row r="41" spans="1:17" x14ac:dyDescent="0.3">
      <c r="A41" s="38" t="s">
        <v>523</v>
      </c>
      <c r="B41" s="38" t="s">
        <v>186</v>
      </c>
      <c r="C41" s="38" t="s">
        <v>22</v>
      </c>
      <c r="D41" s="3" t="s">
        <v>21</v>
      </c>
      <c r="E41" s="2">
        <v>28</v>
      </c>
      <c r="F41" s="2">
        <v>6</v>
      </c>
      <c r="G41" s="4">
        <v>0.67857140302658081</v>
      </c>
      <c r="H41" s="4">
        <v>0.2142857164144516</v>
      </c>
      <c r="I41" s="4">
        <v>0.1428571492433548</v>
      </c>
      <c r="J41" s="4">
        <v>0.3333333432674408</v>
      </c>
      <c r="K41" s="4">
        <v>1</v>
      </c>
      <c r="L41" s="4">
        <v>0.6428571343421936</v>
      </c>
      <c r="M41" s="4">
        <v>1</v>
      </c>
      <c r="N41" s="4">
        <v>0.2142857164144516</v>
      </c>
      <c r="P41" s="4" cm="1">
        <f t="array" aca="1" ref="P41" ca="1">INDEX(INDIRECT(trust_dq_table),(ROW()-ROW(INDIRECT(trust_dq_cols))),MATCH(selected_dq_name_xc,INDIRECT(trust_dq_cols),0))</f>
        <v>0.3333333432674408</v>
      </c>
      <c r="Q41" s="52">
        <f t="shared" ca="1" si="1"/>
        <v>120</v>
      </c>
    </row>
    <row r="42" spans="1:17" x14ac:dyDescent="0.3">
      <c r="A42" s="38" t="s">
        <v>219</v>
      </c>
      <c r="B42" s="38" t="s">
        <v>218</v>
      </c>
      <c r="C42" s="38" t="s">
        <v>524</v>
      </c>
      <c r="D42" s="38" t="s">
        <v>13</v>
      </c>
      <c r="E42" s="2">
        <v>92</v>
      </c>
      <c r="F42" s="2">
        <v>59</v>
      </c>
      <c r="G42" s="4">
        <v>0.1521739065647125</v>
      </c>
      <c r="H42" s="4">
        <v>0.63043481111526489</v>
      </c>
      <c r="I42" s="4">
        <v>0.63043481111526489</v>
      </c>
      <c r="J42" s="4">
        <v>0.96610170602798462</v>
      </c>
      <c r="K42" s="4">
        <v>0.98913043737411499</v>
      </c>
      <c r="L42" s="4">
        <v>0.88043481111526489</v>
      </c>
      <c r="M42" s="4">
        <v>0.95652174949645996</v>
      </c>
      <c r="N42" s="4">
        <v>0.6413043737411499</v>
      </c>
      <c r="P42" s="54" cm="1">
        <f t="array" aca="1" ref="P42" ca="1">INDEX(INDIRECT(trust_dq_table),(ROW()-ROW(INDIRECT(trust_dq_cols))),MATCH(selected_dq_name_xc,INDIRECT(trust_dq_cols),0))</f>
        <v>0.96610170602798462</v>
      </c>
      <c r="Q42" s="52">
        <f t="shared" ca="1" si="1"/>
        <v>54</v>
      </c>
    </row>
    <row r="43" spans="1:17" x14ac:dyDescent="0.3">
      <c r="A43" s="38" t="s">
        <v>254</v>
      </c>
      <c r="B43" s="38" t="s">
        <v>253</v>
      </c>
      <c r="C43" s="38" t="s">
        <v>515</v>
      </c>
      <c r="D43" s="3" t="s">
        <v>38</v>
      </c>
      <c r="E43" s="2">
        <v>84</v>
      </c>
      <c r="F43" s="2">
        <v>36</v>
      </c>
      <c r="G43" s="4">
        <v>0.7023809552192688</v>
      </c>
      <c r="H43" s="4">
        <v>0.66666668653488159</v>
      </c>
      <c r="I43" s="4">
        <v>0.3571428656578064</v>
      </c>
      <c r="J43" s="4">
        <v>0.6388888955116272</v>
      </c>
      <c r="K43" s="4">
        <v>0.96428573131561279</v>
      </c>
      <c r="L43" s="4">
        <v>0.5952380895614624</v>
      </c>
      <c r="M43" s="4">
        <v>0.97619044780731201</v>
      </c>
      <c r="N43" s="4">
        <v>0.4285714328289032</v>
      </c>
      <c r="P43" s="4" cm="1">
        <f t="array" aca="1" ref="P43" ca="1">INDEX(INDIRECT(trust_dq_table),(ROW()-ROW(INDIRECT(trust_dq_cols))),MATCH(selected_dq_name_xc,INDIRECT(trust_dq_cols),0))</f>
        <v>0.6388888955116272</v>
      </c>
      <c r="Q43" s="52">
        <f t="shared" ca="1" si="1"/>
        <v>111</v>
      </c>
    </row>
    <row r="44" spans="1:17" x14ac:dyDescent="0.3">
      <c r="A44" s="38" t="s">
        <v>525</v>
      </c>
      <c r="B44" s="38" t="s">
        <v>51</v>
      </c>
      <c r="C44" s="38" t="s">
        <v>37</v>
      </c>
      <c r="D44" s="38" t="s">
        <v>36</v>
      </c>
      <c r="E44" s="2">
        <v>27</v>
      </c>
      <c r="F44" s="2">
        <v>5</v>
      </c>
      <c r="G44" s="4">
        <v>0.77777779102325439</v>
      </c>
      <c r="H44" s="4">
        <v>0.96296298503875732</v>
      </c>
      <c r="I44" s="4">
        <v>0.51851850748062134</v>
      </c>
      <c r="J44" s="4">
        <v>0.80000001192092896</v>
      </c>
      <c r="K44" s="4">
        <v>0.92592591047286987</v>
      </c>
      <c r="L44" s="4">
        <v>1</v>
      </c>
      <c r="M44" s="4">
        <v>1</v>
      </c>
      <c r="N44" s="4">
        <v>0.18518517911434171</v>
      </c>
      <c r="P44" s="54" cm="1">
        <f t="array" aca="1" ref="P44" ca="1">INDEX(INDIRECT(trust_dq_table),(ROW()-ROW(INDIRECT(trust_dq_cols))),MATCH(selected_dq_name_xc,INDIRECT(trust_dq_cols),0))</f>
        <v>0.80000001192092896</v>
      </c>
      <c r="Q44" s="52">
        <f t="shared" ca="1" si="1"/>
        <v>103</v>
      </c>
    </row>
    <row r="45" spans="1:17" x14ac:dyDescent="0.3">
      <c r="A45" s="38" t="s">
        <v>113</v>
      </c>
      <c r="B45" s="38" t="s">
        <v>112</v>
      </c>
      <c r="C45" s="38" t="s">
        <v>8</v>
      </c>
      <c r="D45" s="3" t="s">
        <v>7</v>
      </c>
      <c r="E45" s="2">
        <v>57</v>
      </c>
      <c r="F45" s="2">
        <v>29</v>
      </c>
      <c r="G45" s="4">
        <v>0.43859648704528809</v>
      </c>
      <c r="H45" s="4">
        <v>0.82456141710281372</v>
      </c>
      <c r="I45" s="4">
        <v>0.87719297409057617</v>
      </c>
      <c r="J45" s="4">
        <v>0.96551722288131714</v>
      </c>
      <c r="K45" s="4">
        <v>0.9649122953414917</v>
      </c>
      <c r="L45" s="4">
        <v>0.87719297409057617</v>
      </c>
      <c r="M45" s="4">
        <v>0.98245614767074585</v>
      </c>
      <c r="N45" s="4">
        <v>0.50877195596694946</v>
      </c>
      <c r="P45" s="4" cm="1">
        <f t="array" aca="1" ref="P45" ca="1">INDEX(INDIRECT(trust_dq_table),(ROW()-ROW(INDIRECT(trust_dq_cols))),MATCH(selected_dq_name_xc,INDIRECT(trust_dq_cols),0))</f>
        <v>0.96551722288131714</v>
      </c>
      <c r="Q45" s="52">
        <f t="shared" ca="1" si="1"/>
        <v>55</v>
      </c>
    </row>
    <row r="46" spans="1:17" x14ac:dyDescent="0.3">
      <c r="A46" s="38" t="s">
        <v>173</v>
      </c>
      <c r="B46" s="38" t="s">
        <v>172</v>
      </c>
      <c r="C46" s="38" t="s">
        <v>6</v>
      </c>
      <c r="D46" s="38" t="s">
        <v>5</v>
      </c>
      <c r="E46" s="2">
        <v>48</v>
      </c>
      <c r="F46" s="2">
        <v>13</v>
      </c>
      <c r="G46" s="4">
        <v>0.2708333432674408</v>
      </c>
      <c r="H46" s="4">
        <v>6.25E-2</v>
      </c>
      <c r="I46" s="4">
        <v>0.2916666567325592</v>
      </c>
      <c r="J46" s="4">
        <v>0.8461538553237915</v>
      </c>
      <c r="K46" s="4">
        <v>0.97916668653488159</v>
      </c>
      <c r="L46" s="4">
        <v>0.70833331346511841</v>
      </c>
      <c r="M46" s="4">
        <v>0.97916668653488159</v>
      </c>
      <c r="N46" s="4">
        <v>0.2708333432674408</v>
      </c>
      <c r="P46" s="54" cm="1">
        <f t="array" aca="1" ref="P46" ca="1">INDEX(INDIRECT(trust_dq_table),(ROW()-ROW(INDIRECT(trust_dq_cols))),MATCH(selected_dq_name_xc,INDIRECT(trust_dq_cols),0))</f>
        <v>0.8461538553237915</v>
      </c>
      <c r="Q46" s="52">
        <f t="shared" ca="1" si="1"/>
        <v>94</v>
      </c>
    </row>
    <row r="47" spans="1:17" x14ac:dyDescent="0.3">
      <c r="A47" s="38" t="s">
        <v>144</v>
      </c>
      <c r="B47" s="38" t="s">
        <v>143</v>
      </c>
      <c r="C47" s="38" t="s">
        <v>29</v>
      </c>
      <c r="D47" s="3" t="s">
        <v>28</v>
      </c>
      <c r="E47" s="2">
        <v>138</v>
      </c>
      <c r="F47" s="2">
        <v>84</v>
      </c>
      <c r="G47" s="4">
        <v>0.59420287609100342</v>
      </c>
      <c r="H47" s="4">
        <v>0.51449275016784668</v>
      </c>
      <c r="I47" s="4">
        <v>0.5724637508392334</v>
      </c>
      <c r="J47" s="4">
        <v>0.8095238208770752</v>
      </c>
      <c r="K47" s="4">
        <v>0.97826087474822998</v>
      </c>
      <c r="L47" s="4">
        <v>0.94202899932861328</v>
      </c>
      <c r="M47" s="4">
        <v>0.93478262424468994</v>
      </c>
      <c r="N47" s="4">
        <v>0.6086956262588501</v>
      </c>
      <c r="P47" s="4" cm="1">
        <f t="array" aca="1" ref="P47" ca="1">INDEX(INDIRECT(trust_dq_table),(ROW()-ROW(INDIRECT(trust_dq_cols))),MATCH(selected_dq_name_xc,INDIRECT(trust_dq_cols),0))</f>
        <v>0.8095238208770752</v>
      </c>
      <c r="Q47" s="52">
        <f t="shared" ca="1" si="1"/>
        <v>99</v>
      </c>
    </row>
    <row r="48" spans="1:17" x14ac:dyDescent="0.3">
      <c r="A48" s="38" t="s">
        <v>72</v>
      </c>
      <c r="B48" s="38" t="s">
        <v>71</v>
      </c>
      <c r="C48" s="38" t="s">
        <v>515</v>
      </c>
      <c r="D48" s="38" t="s">
        <v>38</v>
      </c>
      <c r="E48" s="2">
        <v>42</v>
      </c>
      <c r="F48" s="2">
        <v>19</v>
      </c>
      <c r="G48" s="4">
        <v>0.5476190447807312</v>
      </c>
      <c r="H48" s="4">
        <v>0.5476190447807312</v>
      </c>
      <c r="I48" s="4">
        <v>0.5</v>
      </c>
      <c r="J48" s="4">
        <v>1</v>
      </c>
      <c r="K48" s="4">
        <v>1</v>
      </c>
      <c r="L48" s="4">
        <v>0.71428573131561279</v>
      </c>
      <c r="M48" s="4">
        <v>0.97619044780731201</v>
      </c>
      <c r="N48" s="4">
        <v>0.4523809552192688</v>
      </c>
      <c r="P48" s="54" cm="1">
        <f t="array" aca="1" ref="P48" ca="1">INDEX(INDIRECT(trust_dq_table),(ROW()-ROW(INDIRECT(trust_dq_cols))),MATCH(selected_dq_name_xc,INDIRECT(trust_dq_cols),0))</f>
        <v>1</v>
      </c>
      <c r="Q48" s="52">
        <f t="shared" ca="1" si="1"/>
        <v>1</v>
      </c>
    </row>
    <row r="49" spans="1:17" x14ac:dyDescent="0.3">
      <c r="A49" s="38" t="s">
        <v>244</v>
      </c>
      <c r="B49" s="38" t="s">
        <v>243</v>
      </c>
      <c r="C49" s="38" t="s">
        <v>18</v>
      </c>
      <c r="D49" s="3" t="s">
        <v>17</v>
      </c>
      <c r="E49" s="2">
        <v>64</v>
      </c>
      <c r="F49" s="2">
        <v>23</v>
      </c>
      <c r="G49" s="4">
        <v>0.625</v>
      </c>
      <c r="H49" s="4">
        <v>0.984375</v>
      </c>
      <c r="I49" s="4">
        <v>0.4375</v>
      </c>
      <c r="J49" s="4">
        <v>0.95652174949645996</v>
      </c>
      <c r="K49" s="4">
        <v>1</v>
      </c>
      <c r="L49" s="4">
        <v>0.984375</v>
      </c>
      <c r="M49" s="4">
        <v>0.984375</v>
      </c>
      <c r="N49" s="4">
        <v>0.359375</v>
      </c>
      <c r="P49" s="4" cm="1">
        <f t="array" aca="1" ref="P49" ca="1">INDEX(INDIRECT(trust_dq_table),(ROW()-ROW(INDIRECT(trust_dq_cols))),MATCH(selected_dq_name_xc,INDIRECT(trust_dq_cols),0))</f>
        <v>0.95652174949645996</v>
      </c>
      <c r="Q49" s="52">
        <f t="shared" ca="1" si="1"/>
        <v>58</v>
      </c>
    </row>
    <row r="50" spans="1:17" x14ac:dyDescent="0.3">
      <c r="A50" s="38" t="s">
        <v>190</v>
      </c>
      <c r="B50" s="38" t="s">
        <v>189</v>
      </c>
      <c r="C50" s="38" t="s">
        <v>42</v>
      </c>
      <c r="D50" s="38" t="s">
        <v>41</v>
      </c>
      <c r="E50" s="2">
        <v>138</v>
      </c>
      <c r="F50" s="2">
        <v>71</v>
      </c>
      <c r="G50" s="4">
        <v>0.73913043737411499</v>
      </c>
      <c r="H50" s="4">
        <v>0.44202899932861328</v>
      </c>
      <c r="I50" s="4">
        <v>0.97101449966430664</v>
      </c>
      <c r="J50" s="4">
        <v>1</v>
      </c>
      <c r="K50" s="4">
        <v>0.9275362491607666</v>
      </c>
      <c r="L50" s="4">
        <v>0.97101449966430664</v>
      </c>
      <c r="M50" s="4">
        <v>1</v>
      </c>
      <c r="N50" s="4">
        <v>0.51449275016784668</v>
      </c>
      <c r="P50" s="54" cm="1">
        <f t="array" aca="1" ref="P50" ca="1">INDEX(INDIRECT(trust_dq_table),(ROW()-ROW(INDIRECT(trust_dq_cols))),MATCH(selected_dq_name_xc,INDIRECT(trust_dq_cols),0))</f>
        <v>1</v>
      </c>
      <c r="Q50" s="52">
        <f t="shared" ca="1" si="1"/>
        <v>1</v>
      </c>
    </row>
    <row r="51" spans="1:17" x14ac:dyDescent="0.3">
      <c r="A51" s="38" t="s">
        <v>131</v>
      </c>
      <c r="B51" s="38" t="s">
        <v>130</v>
      </c>
      <c r="C51" s="38" t="s">
        <v>29</v>
      </c>
      <c r="D51" s="3" t="s">
        <v>28</v>
      </c>
      <c r="E51" s="2">
        <v>64</v>
      </c>
      <c r="F51" s="2">
        <v>46</v>
      </c>
      <c r="G51" s="4">
        <v>0.59375</v>
      </c>
      <c r="H51" s="4">
        <v>0.140625</v>
      </c>
      <c r="I51" s="4">
        <v>0.515625</v>
      </c>
      <c r="J51" s="4">
        <v>0.63043481111526489</v>
      </c>
      <c r="K51" s="4">
        <v>0.984375</v>
      </c>
      <c r="L51" s="4">
        <v>0.859375</v>
      </c>
      <c r="M51" s="4">
        <v>0.96875</v>
      </c>
      <c r="N51" s="4">
        <v>0.71875</v>
      </c>
      <c r="P51" s="4" cm="1">
        <f t="array" aca="1" ref="P51" ca="1">INDEX(INDIRECT(trust_dq_table),(ROW()-ROW(INDIRECT(trust_dq_cols))),MATCH(selected_dq_name_xc,INDIRECT(trust_dq_cols),0))</f>
        <v>0.63043481111526489</v>
      </c>
      <c r="Q51" s="52">
        <f t="shared" ca="1" si="1"/>
        <v>112</v>
      </c>
    </row>
    <row r="52" spans="1:17" x14ac:dyDescent="0.3">
      <c r="A52" s="38" t="s">
        <v>101</v>
      </c>
      <c r="B52" s="38" t="s">
        <v>100</v>
      </c>
      <c r="C52" s="38" t="s">
        <v>4</v>
      </c>
      <c r="D52" s="3" t="s">
        <v>3</v>
      </c>
      <c r="E52" s="2">
        <v>118</v>
      </c>
      <c r="F52" s="2">
        <v>25</v>
      </c>
      <c r="G52" s="4">
        <v>0.56779658794403076</v>
      </c>
      <c r="H52" s="4">
        <v>0.77966099977493286</v>
      </c>
      <c r="I52" s="4">
        <v>0.60169494152069092</v>
      </c>
      <c r="J52" s="4">
        <v>1</v>
      </c>
      <c r="K52" s="4">
        <v>0.97457629442214966</v>
      </c>
      <c r="L52" s="4">
        <v>0.68644070625305176</v>
      </c>
      <c r="M52" s="4">
        <v>0.97457629442214966</v>
      </c>
      <c r="N52" s="4">
        <v>0.2118644118309021</v>
      </c>
      <c r="P52" s="4" cm="1">
        <f t="array" aca="1" ref="P52" ca="1">INDEX(INDIRECT(trust_dq_table),(ROW()-ROW(INDIRECT(trust_dq_cols))),MATCH(selected_dq_name_xc,INDIRECT(trust_dq_cols),0))</f>
        <v>1</v>
      </c>
      <c r="Q52" s="52">
        <f t="shared" ca="1" si="1"/>
        <v>1</v>
      </c>
    </row>
    <row r="53" spans="1:17" x14ac:dyDescent="0.3">
      <c r="A53" s="38" t="s">
        <v>526</v>
      </c>
      <c r="B53" s="38" t="s">
        <v>54</v>
      </c>
      <c r="C53" s="38" t="s">
        <v>515</v>
      </c>
      <c r="D53" s="38" t="s">
        <v>38</v>
      </c>
      <c r="E53" s="2">
        <v>68</v>
      </c>
      <c r="F53" s="2">
        <v>23</v>
      </c>
      <c r="G53" s="4">
        <v>0.80882352590560913</v>
      </c>
      <c r="H53" s="4">
        <v>0.4117647111415863</v>
      </c>
      <c r="I53" s="4">
        <v>0.3382352888584137</v>
      </c>
      <c r="J53" s="4">
        <v>0.6086956262588501</v>
      </c>
      <c r="K53" s="4">
        <v>0.94117647409439087</v>
      </c>
      <c r="L53" s="4">
        <v>0.97058820724487305</v>
      </c>
      <c r="M53" s="4">
        <v>0.97058820724487305</v>
      </c>
      <c r="N53" s="4">
        <v>0.3382352888584137</v>
      </c>
      <c r="P53" s="54" cm="1">
        <f t="array" aca="1" ref="P53" ca="1">INDEX(INDIRECT(trust_dq_table),(ROW()-ROW(INDIRECT(trust_dq_cols))),MATCH(selected_dq_name_xc,INDIRECT(trust_dq_cols),0))</f>
        <v>0.6086956262588501</v>
      </c>
      <c r="Q53" s="52">
        <f t="shared" ca="1" si="1"/>
        <v>113</v>
      </c>
    </row>
    <row r="54" spans="1:17" x14ac:dyDescent="0.3">
      <c r="A54" s="38" t="s">
        <v>224</v>
      </c>
      <c r="B54" s="38" t="s">
        <v>223</v>
      </c>
      <c r="C54" s="38" t="s">
        <v>16</v>
      </c>
      <c r="D54" s="3" t="s">
        <v>15</v>
      </c>
      <c r="E54" s="2">
        <v>87</v>
      </c>
      <c r="F54" s="2">
        <v>20</v>
      </c>
      <c r="G54" s="4">
        <v>0.52873563766479492</v>
      </c>
      <c r="H54" s="4">
        <v>0.41379311680793762</v>
      </c>
      <c r="I54" s="4">
        <v>0.2183908075094223</v>
      </c>
      <c r="J54" s="4">
        <v>0.69999998807907104</v>
      </c>
      <c r="K54" s="4">
        <v>0.97701150178909302</v>
      </c>
      <c r="L54" s="4">
        <v>0.57471263408660889</v>
      </c>
      <c r="M54" s="4">
        <v>0.94252872467041016</v>
      </c>
      <c r="N54" s="4">
        <v>0.22988505661487579</v>
      </c>
      <c r="P54" s="4" cm="1">
        <f t="array" aca="1" ref="P54" ca="1">INDEX(INDIRECT(trust_dq_table),(ROW()-ROW(INDIRECT(trust_dq_cols))),MATCH(selected_dq_name_xc,INDIRECT(trust_dq_cols),0))</f>
        <v>0.69999998807907104</v>
      </c>
      <c r="Q54" s="52">
        <f t="shared" ca="1" si="1"/>
        <v>107</v>
      </c>
    </row>
    <row r="55" spans="1:17" x14ac:dyDescent="0.3">
      <c r="A55" s="38" t="s">
        <v>46</v>
      </c>
      <c r="B55" s="38" t="s">
        <v>45</v>
      </c>
      <c r="C55" s="38" t="s">
        <v>12</v>
      </c>
      <c r="D55" s="38" t="s">
        <v>11</v>
      </c>
      <c r="E55" s="2">
        <v>70</v>
      </c>
      <c r="F55" s="2">
        <v>1</v>
      </c>
      <c r="G55" s="4">
        <v>1.428571436554193E-2</v>
      </c>
      <c r="H55" s="4">
        <v>0</v>
      </c>
      <c r="I55" s="4">
        <v>1.428571436554193E-2</v>
      </c>
      <c r="J55" s="4">
        <v>1</v>
      </c>
      <c r="K55" s="4">
        <v>0.94285714626312256</v>
      </c>
      <c r="L55" s="4">
        <v>1.428571436554193E-2</v>
      </c>
      <c r="M55" s="4">
        <v>0.97142857313156128</v>
      </c>
      <c r="N55" s="4">
        <v>1.428571436554193E-2</v>
      </c>
      <c r="P55" s="54" cm="1">
        <f t="array" aca="1" ref="P55" ca="1">INDEX(INDIRECT(trust_dq_table),(ROW()-ROW(INDIRECT(trust_dq_cols))),MATCH(selected_dq_name_xc,INDIRECT(trust_dq_cols),0))</f>
        <v>1</v>
      </c>
      <c r="Q55" s="52">
        <f t="shared" ca="1" si="1"/>
        <v>1</v>
      </c>
    </row>
    <row r="56" spans="1:17" x14ac:dyDescent="0.3">
      <c r="A56" s="38" t="s">
        <v>181</v>
      </c>
      <c r="B56" s="38" t="s">
        <v>180</v>
      </c>
      <c r="C56" s="38" t="s">
        <v>16</v>
      </c>
      <c r="D56" s="3" t="s">
        <v>15</v>
      </c>
      <c r="E56" s="2">
        <v>60</v>
      </c>
      <c r="F56" s="2">
        <v>10</v>
      </c>
      <c r="G56" s="4">
        <v>0.76666665077209473</v>
      </c>
      <c r="H56" s="4">
        <v>0.38333332538604742</v>
      </c>
      <c r="I56" s="4">
        <v>0.13333334028720861</v>
      </c>
      <c r="J56" s="4">
        <v>0.60000002384185791</v>
      </c>
      <c r="K56" s="4">
        <v>0.85000002384185791</v>
      </c>
      <c r="L56" s="4">
        <v>0.55000001192092896</v>
      </c>
      <c r="M56" s="4">
        <v>1</v>
      </c>
      <c r="N56" s="4">
        <v>0.1666666716337204</v>
      </c>
      <c r="P56" s="4" cm="1">
        <f t="array" aca="1" ref="P56" ca="1">INDEX(INDIRECT(trust_dq_table),(ROW()-ROW(INDIRECT(trust_dq_cols))),MATCH(selected_dq_name_xc,INDIRECT(trust_dq_cols),0))</f>
        <v>0.60000002384185791</v>
      </c>
      <c r="Q56" s="52">
        <f t="shared" ca="1" si="1"/>
        <v>114</v>
      </c>
    </row>
    <row r="57" spans="1:17" x14ac:dyDescent="0.3">
      <c r="A57" s="38" t="s">
        <v>527</v>
      </c>
      <c r="B57" s="38" t="s">
        <v>79</v>
      </c>
      <c r="C57" s="38" t="s">
        <v>4</v>
      </c>
      <c r="D57" s="38" t="s">
        <v>3</v>
      </c>
      <c r="E57" s="2">
        <v>82</v>
      </c>
      <c r="F57" s="2">
        <v>28</v>
      </c>
      <c r="G57" s="4">
        <v>0.64634144306182861</v>
      </c>
      <c r="H57" s="4">
        <v>0.80487805604934692</v>
      </c>
      <c r="I57" s="4">
        <v>0.42682927846908569</v>
      </c>
      <c r="J57" s="4">
        <v>1</v>
      </c>
      <c r="K57" s="4">
        <v>0.96341460943222046</v>
      </c>
      <c r="L57" s="4">
        <v>0.75609755516052246</v>
      </c>
      <c r="M57" s="4">
        <v>0.96341460943222046</v>
      </c>
      <c r="N57" s="4">
        <v>0.34146341681480408</v>
      </c>
      <c r="P57" s="54" cm="1">
        <f t="array" aca="1" ref="P57" ca="1">INDEX(INDIRECT(trust_dq_table),(ROW()-ROW(INDIRECT(trust_dq_cols))),MATCH(selected_dq_name_xc,INDIRECT(trust_dq_cols),0))</f>
        <v>1</v>
      </c>
      <c r="Q57" s="52">
        <f t="shared" ca="1" si="1"/>
        <v>1</v>
      </c>
    </row>
    <row r="58" spans="1:17" x14ac:dyDescent="0.3">
      <c r="A58" s="38" t="s">
        <v>65</v>
      </c>
      <c r="B58" s="38" t="s">
        <v>64</v>
      </c>
      <c r="C58" s="38" t="s">
        <v>10</v>
      </c>
      <c r="D58" s="38" t="s">
        <v>9</v>
      </c>
      <c r="E58" s="2">
        <v>210</v>
      </c>
      <c r="F58" s="2">
        <v>55</v>
      </c>
      <c r="G58" s="4">
        <v>0.52857142686843872</v>
      </c>
      <c r="H58" s="4">
        <v>6.190476194024086E-2</v>
      </c>
      <c r="I58" s="4">
        <v>0.24285714328289029</v>
      </c>
      <c r="J58" s="4">
        <v>0.81818181276321411</v>
      </c>
      <c r="K58" s="4">
        <v>0.96190476417541504</v>
      </c>
      <c r="L58" s="4">
        <v>0.8095238208770752</v>
      </c>
      <c r="M58" s="4">
        <v>0.95714282989501953</v>
      </c>
      <c r="N58" s="4">
        <v>0.26190477609634399</v>
      </c>
      <c r="P58" s="54" cm="1">
        <f t="array" aca="1" ref="P58" ca="1">INDEX(INDIRECT(trust_dq_table),(ROW()-ROW(INDIRECT(trust_dq_cols))),MATCH(selected_dq_name_xc,INDIRECT(trust_dq_cols),0))</f>
        <v>0.81818181276321411</v>
      </c>
      <c r="Q58" s="52">
        <f t="shared" ca="1" si="1"/>
        <v>97</v>
      </c>
    </row>
    <row r="59" spans="1:17" x14ac:dyDescent="0.3">
      <c r="A59" s="38" t="s">
        <v>81</v>
      </c>
      <c r="B59" s="38" t="s">
        <v>80</v>
      </c>
      <c r="C59" s="38" t="s">
        <v>4</v>
      </c>
      <c r="D59" s="3" t="s">
        <v>3</v>
      </c>
      <c r="E59" s="2">
        <v>48</v>
      </c>
      <c r="F59" s="2">
        <v>12</v>
      </c>
      <c r="G59" s="4">
        <v>0.70833331346511841</v>
      </c>
      <c r="H59" s="4">
        <v>0.89583331346511841</v>
      </c>
      <c r="I59" s="4">
        <v>0.2291666716337204</v>
      </c>
      <c r="J59" s="4">
        <v>0.91666668653488159</v>
      </c>
      <c r="K59" s="4">
        <v>0.97916668653488159</v>
      </c>
      <c r="L59" s="4">
        <v>0.97916668653488159</v>
      </c>
      <c r="M59" s="4">
        <v>0.9375</v>
      </c>
      <c r="N59" s="4">
        <v>0.25</v>
      </c>
      <c r="P59" s="4" cm="1">
        <f t="array" aca="1" ref="P59" ca="1">INDEX(INDIRECT(trust_dq_table),(ROW()-ROW(INDIRECT(trust_dq_cols))),MATCH(selected_dq_name_xc,INDIRECT(trust_dq_cols),0))</f>
        <v>0.91666668653488159</v>
      </c>
      <c r="Q59" s="52">
        <f t="shared" ca="1" si="1"/>
        <v>70</v>
      </c>
    </row>
    <row r="60" spans="1:17" x14ac:dyDescent="0.3">
      <c r="A60" s="38" t="s">
        <v>528</v>
      </c>
      <c r="B60" s="38" t="s">
        <v>238</v>
      </c>
      <c r="C60" s="38" t="s">
        <v>42</v>
      </c>
      <c r="D60" s="38" t="s">
        <v>41</v>
      </c>
      <c r="E60" s="2">
        <v>92</v>
      </c>
      <c r="F60" s="2">
        <v>52</v>
      </c>
      <c r="G60" s="4">
        <v>0.42391303181648249</v>
      </c>
      <c r="H60" s="4">
        <v>0.44565218687057501</v>
      </c>
      <c r="I60" s="4">
        <v>0.88043481111526489</v>
      </c>
      <c r="J60" s="4">
        <v>0.92307692766189575</v>
      </c>
      <c r="K60" s="4">
        <v>1</v>
      </c>
      <c r="L60" s="4">
        <v>0.91304349899291992</v>
      </c>
      <c r="M60" s="4">
        <v>0.96739131212234497</v>
      </c>
      <c r="N60" s="4">
        <v>0.56521737575531006</v>
      </c>
      <c r="P60" s="54" cm="1">
        <f t="array" aca="1" ref="P60" ca="1">INDEX(INDIRECT(trust_dq_table),(ROW()-ROW(INDIRECT(trust_dq_cols))),MATCH(selected_dq_name_xc,INDIRECT(trust_dq_cols),0))</f>
        <v>0.92307692766189575</v>
      </c>
      <c r="Q60" s="52">
        <f t="shared" ca="1" si="1"/>
        <v>69</v>
      </c>
    </row>
    <row r="61" spans="1:17" x14ac:dyDescent="0.3">
      <c r="A61" s="38" t="s">
        <v>93</v>
      </c>
      <c r="B61" s="38" t="s">
        <v>92</v>
      </c>
      <c r="C61" s="38" t="s">
        <v>10</v>
      </c>
      <c r="D61" s="3" t="s">
        <v>9</v>
      </c>
      <c r="E61" s="2">
        <v>49</v>
      </c>
      <c r="F61" s="2">
        <v>35</v>
      </c>
      <c r="G61" s="4">
        <v>0.8163265585899353</v>
      </c>
      <c r="H61" s="4">
        <v>0.89795917272567749</v>
      </c>
      <c r="I61" s="4">
        <v>0.75510203838348389</v>
      </c>
      <c r="J61" s="4">
        <v>0.8571428656578064</v>
      </c>
      <c r="K61" s="4">
        <v>1</v>
      </c>
      <c r="L61" s="4">
        <v>0.83673471212387085</v>
      </c>
      <c r="M61" s="4">
        <v>1</v>
      </c>
      <c r="N61" s="4">
        <v>0.71428573131561279</v>
      </c>
      <c r="P61" s="4" cm="1">
        <f t="array" aca="1" ref="P61" ca="1">INDEX(INDIRECT(trust_dq_table),(ROW()-ROW(INDIRECT(trust_dq_cols))),MATCH(selected_dq_name_xc,INDIRECT(trust_dq_cols),0))</f>
        <v>0.8571428656578064</v>
      </c>
      <c r="Q61" s="52">
        <f t="shared" ca="1" si="1"/>
        <v>90</v>
      </c>
    </row>
    <row r="62" spans="1:17" x14ac:dyDescent="0.3">
      <c r="A62" s="38" t="s">
        <v>529</v>
      </c>
      <c r="B62" s="38" t="s">
        <v>197</v>
      </c>
      <c r="C62" s="38" t="s">
        <v>24</v>
      </c>
      <c r="D62" s="38" t="s">
        <v>23</v>
      </c>
      <c r="E62" s="2">
        <v>209</v>
      </c>
      <c r="F62" s="2">
        <v>132</v>
      </c>
      <c r="G62" s="4">
        <v>0.52153110504150391</v>
      </c>
      <c r="H62" s="4">
        <v>0.62679427862167358</v>
      </c>
      <c r="I62" s="4">
        <v>0.80382776260375977</v>
      </c>
      <c r="J62" s="4">
        <v>0.9848484992980957</v>
      </c>
      <c r="K62" s="4">
        <v>0.97607654333114624</v>
      </c>
      <c r="L62" s="4">
        <v>0.91866028308868408</v>
      </c>
      <c r="M62" s="4">
        <v>0.99043059349060059</v>
      </c>
      <c r="N62" s="4">
        <v>0.63157892227172852</v>
      </c>
      <c r="P62" s="54" cm="1">
        <f t="array" aca="1" ref="P62" ca="1">INDEX(INDIRECT(trust_dq_table),(ROW()-ROW(INDIRECT(trust_dq_cols))),MATCH(selected_dq_name_xc,INDIRECT(trust_dq_cols),0))</f>
        <v>0.9848484992980957</v>
      </c>
      <c r="Q62" s="52">
        <f t="shared" ca="1" si="1"/>
        <v>49</v>
      </c>
    </row>
    <row r="63" spans="1:17" x14ac:dyDescent="0.3">
      <c r="A63" s="38" t="s">
        <v>157</v>
      </c>
      <c r="B63" s="38" t="s">
        <v>156</v>
      </c>
      <c r="C63" s="38" t="s">
        <v>8</v>
      </c>
      <c r="D63" s="38" t="s">
        <v>7</v>
      </c>
      <c r="E63" s="2">
        <v>122</v>
      </c>
      <c r="F63" s="2">
        <v>31</v>
      </c>
      <c r="G63" s="4">
        <v>0.63934427499771118</v>
      </c>
      <c r="H63" s="4">
        <v>0.4098360538482666</v>
      </c>
      <c r="I63" s="4">
        <v>0.1147540956735611</v>
      </c>
      <c r="J63" s="4">
        <v>0.29032257199287409</v>
      </c>
      <c r="K63" s="4">
        <v>0.9754098653793335</v>
      </c>
      <c r="L63" s="4">
        <v>0.91803276538848877</v>
      </c>
      <c r="M63" s="4">
        <v>1</v>
      </c>
      <c r="N63" s="4">
        <v>0.25409835577011108</v>
      </c>
      <c r="P63" s="54" cm="1">
        <f t="array" aca="1" ref="P63" ca="1">INDEX(INDIRECT(trust_dq_table),(ROW()-ROW(INDIRECT(trust_dq_cols))),MATCH(selected_dq_name_xc,INDIRECT(trust_dq_cols),0))</f>
        <v>0.29032257199287409</v>
      </c>
      <c r="Q63" s="52">
        <f t="shared" ca="1" si="1"/>
        <v>121</v>
      </c>
    </row>
    <row r="64" spans="1:17" x14ac:dyDescent="0.3">
      <c r="A64" s="38" t="s">
        <v>213</v>
      </c>
      <c r="B64" s="38" t="s">
        <v>212</v>
      </c>
      <c r="C64" s="38" t="s">
        <v>521</v>
      </c>
      <c r="D64" s="3" t="s">
        <v>26</v>
      </c>
      <c r="E64" s="2">
        <v>52</v>
      </c>
      <c r="F64" s="2">
        <v>8</v>
      </c>
      <c r="G64" s="4">
        <v>0.30769231915473938</v>
      </c>
      <c r="H64" s="4">
        <v>0.115384615957737</v>
      </c>
      <c r="I64" s="4">
        <v>0.17307692766189581</v>
      </c>
      <c r="J64" s="4">
        <v>1</v>
      </c>
      <c r="K64" s="4">
        <v>0.96153843402862549</v>
      </c>
      <c r="L64" s="4">
        <v>0.46153846383094788</v>
      </c>
      <c r="M64" s="4">
        <v>0.96153843402862549</v>
      </c>
      <c r="N64" s="4">
        <v>0.15384615957736969</v>
      </c>
      <c r="P64" s="4" cm="1">
        <f t="array" aca="1" ref="P64" ca="1">INDEX(INDIRECT(trust_dq_table),(ROW()-ROW(INDIRECT(trust_dq_cols))),MATCH(selected_dq_name_xc,INDIRECT(trust_dq_cols),0))</f>
        <v>1</v>
      </c>
      <c r="Q64" s="52">
        <f t="shared" ca="1" si="1"/>
        <v>1</v>
      </c>
    </row>
    <row r="65" spans="1:17" x14ac:dyDescent="0.3">
      <c r="A65" s="38" t="s">
        <v>171</v>
      </c>
      <c r="B65" s="38" t="s">
        <v>170</v>
      </c>
      <c r="C65" s="38" t="s">
        <v>24</v>
      </c>
      <c r="D65" s="38" t="s">
        <v>23</v>
      </c>
      <c r="E65" s="2">
        <v>50</v>
      </c>
      <c r="F65" s="2">
        <v>12</v>
      </c>
      <c r="G65" s="4">
        <v>0.119999997317791</v>
      </c>
      <c r="H65" s="4">
        <v>0.30000001192092901</v>
      </c>
      <c r="I65" s="4">
        <v>0.36000001430511469</v>
      </c>
      <c r="J65" s="4">
        <v>1</v>
      </c>
      <c r="K65" s="4">
        <v>0.92000001668930054</v>
      </c>
      <c r="L65" s="4">
        <v>0.74000000953674316</v>
      </c>
      <c r="M65" s="4">
        <v>0.98000001907348633</v>
      </c>
      <c r="N65" s="4">
        <v>0.239999994635582</v>
      </c>
      <c r="P65" s="54" cm="1">
        <f t="array" aca="1" ref="P65" ca="1">INDEX(INDIRECT(trust_dq_table),(ROW()-ROW(INDIRECT(trust_dq_cols))),MATCH(selected_dq_name_xc,INDIRECT(trust_dq_cols),0))</f>
        <v>1</v>
      </c>
      <c r="Q65" s="52">
        <f t="shared" ca="1" si="1"/>
        <v>1</v>
      </c>
    </row>
    <row r="66" spans="1:17" x14ac:dyDescent="0.3">
      <c r="A66" s="38" t="s">
        <v>69</v>
      </c>
      <c r="B66" s="38" t="s">
        <v>68</v>
      </c>
      <c r="C66" s="38" t="s">
        <v>20</v>
      </c>
      <c r="D66" s="3" t="s">
        <v>19</v>
      </c>
      <c r="E66" s="2">
        <v>44</v>
      </c>
      <c r="F66" s="2">
        <v>21</v>
      </c>
      <c r="G66" s="4">
        <v>0.25</v>
      </c>
      <c r="H66" s="4">
        <v>0.45454546809196472</v>
      </c>
      <c r="I66" s="4">
        <v>0.52272725105285645</v>
      </c>
      <c r="J66" s="4">
        <v>0.8095238208770752</v>
      </c>
      <c r="K66" s="4">
        <v>0.84090906381607056</v>
      </c>
      <c r="L66" s="4">
        <v>0.90909093618392944</v>
      </c>
      <c r="M66" s="4">
        <v>0.95454543828964233</v>
      </c>
      <c r="N66" s="4">
        <v>0.47727271914482122</v>
      </c>
      <c r="P66" s="4" cm="1">
        <f t="array" aca="1" ref="P66" ca="1">INDEX(INDIRECT(trust_dq_table),(ROW()-ROW(INDIRECT(trust_dq_cols))),MATCH(selected_dq_name_xc,INDIRECT(trust_dq_cols),0))</f>
        <v>0.8095238208770752</v>
      </c>
      <c r="Q66" s="52">
        <f t="shared" ref="Q66:Q97" ca="1" si="2">RANK(P66,P:P,0)</f>
        <v>99</v>
      </c>
    </row>
    <row r="67" spans="1:17" x14ac:dyDescent="0.3">
      <c r="A67" s="38" t="s">
        <v>530</v>
      </c>
      <c r="B67" s="38" t="s">
        <v>217</v>
      </c>
      <c r="C67" s="38" t="s">
        <v>24</v>
      </c>
      <c r="D67" s="38" t="s">
        <v>23</v>
      </c>
      <c r="E67" s="2">
        <v>51</v>
      </c>
      <c r="F67" s="2">
        <v>32</v>
      </c>
      <c r="G67" s="4">
        <v>0.52941179275512695</v>
      </c>
      <c r="H67" s="4">
        <v>0.94117647409439087</v>
      </c>
      <c r="I67" s="4">
        <v>0.64705884456634521</v>
      </c>
      <c r="J67" s="4">
        <v>0.96875</v>
      </c>
      <c r="K67" s="4">
        <v>1</v>
      </c>
      <c r="L67" s="4">
        <v>1</v>
      </c>
      <c r="M67" s="4">
        <v>1</v>
      </c>
      <c r="N67" s="4">
        <v>0.62745100259780884</v>
      </c>
      <c r="P67" s="54" cm="1">
        <f t="array" aca="1" ref="P67" ca="1">INDEX(INDIRECT(trust_dq_table),(ROW()-ROW(INDIRECT(trust_dq_cols))),MATCH(selected_dq_name_xc,INDIRECT(trust_dq_cols),0))</f>
        <v>0.96875</v>
      </c>
      <c r="Q67" s="52">
        <f t="shared" ca="1" si="2"/>
        <v>52</v>
      </c>
    </row>
    <row r="68" spans="1:17" x14ac:dyDescent="0.3">
      <c r="A68" s="38" t="s">
        <v>111</v>
      </c>
      <c r="B68" s="38" t="s">
        <v>110</v>
      </c>
      <c r="C68" s="38" t="s">
        <v>8</v>
      </c>
      <c r="D68" s="3" t="s">
        <v>7</v>
      </c>
      <c r="E68" s="2">
        <v>69</v>
      </c>
      <c r="F68" s="2">
        <v>26</v>
      </c>
      <c r="G68" s="4">
        <v>0.36231884360313421</v>
      </c>
      <c r="H68" s="4">
        <v>0.44927537441253662</v>
      </c>
      <c r="I68" s="4">
        <v>0.39130434393882751</v>
      </c>
      <c r="J68" s="4">
        <v>0.80769228935241699</v>
      </c>
      <c r="K68" s="4">
        <v>0.98550724983215332</v>
      </c>
      <c r="L68" s="4">
        <v>0.73913043737411499</v>
      </c>
      <c r="M68" s="4">
        <v>1</v>
      </c>
      <c r="N68" s="4">
        <v>0.37681159377098078</v>
      </c>
      <c r="P68" s="4" cm="1">
        <f t="array" aca="1" ref="P68" ca="1">INDEX(INDIRECT(trust_dq_table),(ROW()-ROW(INDIRECT(trust_dq_cols))),MATCH(selected_dq_name_xc,INDIRECT(trust_dq_cols),0))</f>
        <v>0.80769228935241699</v>
      </c>
      <c r="Q68" s="52">
        <f t="shared" ca="1" si="2"/>
        <v>101</v>
      </c>
    </row>
    <row r="69" spans="1:17" x14ac:dyDescent="0.3">
      <c r="A69" s="38" t="s">
        <v>175</v>
      </c>
      <c r="B69" s="38" t="s">
        <v>174</v>
      </c>
      <c r="C69" s="38" t="s">
        <v>6</v>
      </c>
      <c r="D69" s="38" t="s">
        <v>5</v>
      </c>
      <c r="E69" s="2">
        <v>56</v>
      </c>
      <c r="F69" s="2">
        <v>29</v>
      </c>
      <c r="G69" s="4">
        <v>0.4285714328289032</v>
      </c>
      <c r="H69" s="4">
        <v>0.69642859697341919</v>
      </c>
      <c r="I69" s="4">
        <v>0.53571426868438721</v>
      </c>
      <c r="J69" s="4">
        <v>0.86206895112991333</v>
      </c>
      <c r="K69" s="4">
        <v>0.94642859697341919</v>
      </c>
      <c r="L69" s="4">
        <v>0.83928573131561279</v>
      </c>
      <c r="M69" s="4">
        <v>1</v>
      </c>
      <c r="N69" s="4">
        <v>0.5178571343421936</v>
      </c>
      <c r="P69" s="54" cm="1">
        <f t="array" aca="1" ref="P69" ca="1">INDEX(INDIRECT(trust_dq_table),(ROW()-ROW(INDIRECT(trust_dq_cols))),MATCH(selected_dq_name_xc,INDIRECT(trust_dq_cols),0))</f>
        <v>0.86206895112991333</v>
      </c>
      <c r="Q69" s="52">
        <f t="shared" ca="1" si="2"/>
        <v>89</v>
      </c>
    </row>
    <row r="70" spans="1:17" x14ac:dyDescent="0.3">
      <c r="A70" s="38" t="s">
        <v>531</v>
      </c>
      <c r="B70" s="38" t="s">
        <v>158</v>
      </c>
      <c r="C70" s="38" t="s">
        <v>12</v>
      </c>
      <c r="D70" s="38" t="s">
        <v>11</v>
      </c>
      <c r="E70" s="2">
        <v>133</v>
      </c>
      <c r="F70" s="2">
        <v>26</v>
      </c>
      <c r="G70" s="4">
        <v>0.63909775018692017</v>
      </c>
      <c r="H70" s="4">
        <v>0.80451124906539917</v>
      </c>
      <c r="I70" s="4">
        <v>0.308270663022995</v>
      </c>
      <c r="J70" s="4">
        <v>0.8461538553237915</v>
      </c>
      <c r="K70" s="4">
        <v>0.93233084678649902</v>
      </c>
      <c r="L70" s="4">
        <v>0.68421053886413574</v>
      </c>
      <c r="M70" s="4">
        <v>0.99248123168945313</v>
      </c>
      <c r="N70" s="4">
        <v>0.19548872113227839</v>
      </c>
      <c r="P70" s="54" cm="1">
        <f t="array" aca="1" ref="P70" ca="1">INDEX(INDIRECT(trust_dq_table),(ROW()-ROW(INDIRECT(trust_dq_cols))),MATCH(selected_dq_name_xc,INDIRECT(trust_dq_cols),0))</f>
        <v>0.8461538553237915</v>
      </c>
      <c r="Q70" s="52">
        <f t="shared" ca="1" si="2"/>
        <v>94</v>
      </c>
    </row>
    <row r="71" spans="1:17" x14ac:dyDescent="0.3">
      <c r="A71" s="38" t="s">
        <v>139</v>
      </c>
      <c r="B71" s="38" t="s">
        <v>138</v>
      </c>
      <c r="C71" s="38" t="s">
        <v>524</v>
      </c>
      <c r="D71" s="3" t="s">
        <v>13</v>
      </c>
      <c r="E71" s="2">
        <v>80</v>
      </c>
      <c r="F71" s="2">
        <v>20</v>
      </c>
      <c r="G71" s="4">
        <v>7.5000002980232239E-2</v>
      </c>
      <c r="H71" s="4">
        <v>0.64999997615814209</v>
      </c>
      <c r="I71" s="4">
        <v>0.44999998807907099</v>
      </c>
      <c r="J71" s="4">
        <v>1</v>
      </c>
      <c r="K71" s="4">
        <v>0.94999998807907104</v>
      </c>
      <c r="L71" s="4">
        <v>0.96249997615814209</v>
      </c>
      <c r="M71" s="4">
        <v>1</v>
      </c>
      <c r="N71" s="4">
        <v>0.25</v>
      </c>
      <c r="P71" s="4" cm="1">
        <f t="array" aca="1" ref="P71" ca="1">INDEX(INDIRECT(trust_dq_table),(ROW()-ROW(INDIRECT(trust_dq_cols))),MATCH(selected_dq_name_xc,INDIRECT(trust_dq_cols),0))</f>
        <v>1</v>
      </c>
      <c r="Q71" s="52">
        <f t="shared" ca="1" si="2"/>
        <v>1</v>
      </c>
    </row>
    <row r="72" spans="1:17" x14ac:dyDescent="0.3">
      <c r="A72" s="38" t="s">
        <v>201</v>
      </c>
      <c r="B72" s="38" t="s">
        <v>200</v>
      </c>
      <c r="C72" s="38" t="s">
        <v>24</v>
      </c>
      <c r="D72" s="38" t="s">
        <v>23</v>
      </c>
      <c r="E72" s="2">
        <v>85</v>
      </c>
      <c r="F72" s="2">
        <v>22</v>
      </c>
      <c r="G72" s="4">
        <v>0.54117649793624878</v>
      </c>
      <c r="H72" s="4">
        <v>0.83529412746429443</v>
      </c>
      <c r="I72" s="4">
        <v>0.55294120311737061</v>
      </c>
      <c r="J72" s="4">
        <v>1</v>
      </c>
      <c r="K72" s="4">
        <v>0.90588235855102539</v>
      </c>
      <c r="L72" s="4">
        <v>0.94117647409439087</v>
      </c>
      <c r="M72" s="4">
        <v>0.9529411792755127</v>
      </c>
      <c r="N72" s="4">
        <v>0.25882354378700262</v>
      </c>
      <c r="P72" s="54" cm="1">
        <f t="array" aca="1" ref="P72" ca="1">INDEX(INDIRECT(trust_dq_table),(ROW()-ROW(INDIRECT(trust_dq_cols))),MATCH(selected_dq_name_xc,INDIRECT(trust_dq_cols),0))</f>
        <v>1</v>
      </c>
      <c r="Q72" s="52">
        <f t="shared" ca="1" si="2"/>
        <v>1</v>
      </c>
    </row>
    <row r="73" spans="1:17" x14ac:dyDescent="0.3">
      <c r="A73" s="38" t="s">
        <v>235</v>
      </c>
      <c r="B73" s="38" t="s">
        <v>234</v>
      </c>
      <c r="C73" s="38" t="s">
        <v>6</v>
      </c>
      <c r="D73" s="3" t="s">
        <v>5</v>
      </c>
      <c r="E73" s="2">
        <v>156</v>
      </c>
      <c r="F73" s="2">
        <v>93</v>
      </c>
      <c r="G73" s="4">
        <v>0.41025641560554499</v>
      </c>
      <c r="H73" s="4">
        <v>0.61538463830947876</v>
      </c>
      <c r="I73" s="4">
        <v>0.67948716878890991</v>
      </c>
      <c r="J73" s="4">
        <v>0.97849464416503906</v>
      </c>
      <c r="K73" s="4">
        <v>0.97435897588729858</v>
      </c>
      <c r="L73" s="4">
        <v>0.76923078298568726</v>
      </c>
      <c r="M73" s="4">
        <v>0.96153843402862549</v>
      </c>
      <c r="N73" s="4">
        <v>0.5961538553237915</v>
      </c>
      <c r="P73" s="4" cm="1">
        <f t="array" aca="1" ref="P73" ca="1">INDEX(INDIRECT(trust_dq_table),(ROW()-ROW(INDIRECT(trust_dq_cols))),MATCH(selected_dq_name_xc,INDIRECT(trust_dq_cols),0))</f>
        <v>0.97849464416503906</v>
      </c>
      <c r="Q73" s="52">
        <f t="shared" ca="1" si="2"/>
        <v>51</v>
      </c>
    </row>
    <row r="74" spans="1:17" x14ac:dyDescent="0.3">
      <c r="A74" s="38" t="s">
        <v>204</v>
      </c>
      <c r="B74" s="38" t="s">
        <v>203</v>
      </c>
      <c r="C74" s="38" t="s">
        <v>35</v>
      </c>
      <c r="D74" s="38" t="s">
        <v>34</v>
      </c>
      <c r="E74" s="2">
        <v>145</v>
      </c>
      <c r="F74" s="2">
        <v>54</v>
      </c>
      <c r="G74" s="4">
        <v>0.60689657926559448</v>
      </c>
      <c r="H74" s="4">
        <v>0.5517241358757019</v>
      </c>
      <c r="I74" s="4">
        <v>0.74482756853103638</v>
      </c>
      <c r="J74" s="4">
        <v>1</v>
      </c>
      <c r="K74" s="4">
        <v>0.98620688915252686</v>
      </c>
      <c r="L74" s="4">
        <v>0.88275861740112305</v>
      </c>
      <c r="M74" s="4">
        <v>0.90344828367233276</v>
      </c>
      <c r="N74" s="4">
        <v>0.37241378426551819</v>
      </c>
      <c r="P74" s="54" cm="1">
        <f t="array" aca="1" ref="P74" ca="1">INDEX(INDIRECT(trust_dq_table),(ROW()-ROW(INDIRECT(trust_dq_cols))),MATCH(selected_dq_name_xc,INDIRECT(trust_dq_cols),0))</f>
        <v>1</v>
      </c>
      <c r="Q74" s="52">
        <f t="shared" ca="1" si="2"/>
        <v>1</v>
      </c>
    </row>
    <row r="75" spans="1:17" x14ac:dyDescent="0.3">
      <c r="A75" s="38" t="s">
        <v>532</v>
      </c>
      <c r="B75" s="38" t="s">
        <v>125</v>
      </c>
      <c r="C75" s="38" t="s">
        <v>37</v>
      </c>
      <c r="D75" s="3" t="s">
        <v>36</v>
      </c>
      <c r="E75" s="2">
        <v>101</v>
      </c>
      <c r="F75" s="2">
        <v>41</v>
      </c>
      <c r="G75" s="4">
        <v>0.61386138200759888</v>
      </c>
      <c r="H75" s="4">
        <v>0.7326732873916626</v>
      </c>
      <c r="I75" s="4">
        <v>0.47524753212928772</v>
      </c>
      <c r="J75" s="4">
        <v>0.92682927846908569</v>
      </c>
      <c r="K75" s="4">
        <v>0.89108908176422119</v>
      </c>
      <c r="L75" s="4">
        <v>0.83168315887451172</v>
      </c>
      <c r="M75" s="4">
        <v>0.83168315887451172</v>
      </c>
      <c r="N75" s="4">
        <v>0.40594059228897089</v>
      </c>
      <c r="P75" s="4" cm="1">
        <f t="array" aca="1" ref="P75" ca="1">INDEX(INDIRECT(trust_dq_table),(ROW()-ROW(INDIRECT(trust_dq_cols))),MATCH(selected_dq_name_xc,INDIRECT(trust_dq_cols),0))</f>
        <v>0.92682927846908569</v>
      </c>
      <c r="Q75" s="52">
        <f t="shared" ca="1" si="2"/>
        <v>68</v>
      </c>
    </row>
    <row r="76" spans="1:17" x14ac:dyDescent="0.3">
      <c r="A76" s="38" t="s">
        <v>533</v>
      </c>
      <c r="B76" s="38" t="s">
        <v>185</v>
      </c>
      <c r="C76" s="38" t="s">
        <v>10</v>
      </c>
      <c r="D76" s="3" t="s">
        <v>9</v>
      </c>
      <c r="E76" s="2">
        <v>25</v>
      </c>
      <c r="F76" s="2">
        <v>12</v>
      </c>
      <c r="G76" s="4">
        <v>0.119999997317791</v>
      </c>
      <c r="H76" s="4">
        <v>0.40000000596046448</v>
      </c>
      <c r="I76" s="4">
        <v>0.60000002384185791</v>
      </c>
      <c r="J76" s="4">
        <v>1</v>
      </c>
      <c r="K76" s="4">
        <v>0.92000001668930054</v>
      </c>
      <c r="L76" s="4">
        <v>0.87999999523162842</v>
      </c>
      <c r="M76" s="4">
        <v>0.95999997854232788</v>
      </c>
      <c r="N76" s="4">
        <v>0.47999998927116388</v>
      </c>
      <c r="P76" s="4" cm="1">
        <f t="array" aca="1" ref="P76" ca="1">INDEX(INDIRECT(trust_dq_table),(ROW()-ROW(INDIRECT(trust_dq_cols))),MATCH(selected_dq_name_xc,INDIRECT(trust_dq_cols),0))</f>
        <v>1</v>
      </c>
      <c r="Q76" s="52">
        <f t="shared" ca="1" si="2"/>
        <v>1</v>
      </c>
    </row>
    <row r="77" spans="1:17" x14ac:dyDescent="0.3">
      <c r="A77" s="38" t="s">
        <v>534</v>
      </c>
      <c r="B77" s="38" t="s">
        <v>90</v>
      </c>
      <c r="C77" s="38" t="s">
        <v>8</v>
      </c>
      <c r="D77" s="38" t="s">
        <v>7</v>
      </c>
      <c r="E77" s="2">
        <v>45</v>
      </c>
      <c r="F77" s="2">
        <v>20</v>
      </c>
      <c r="G77" s="4">
        <v>0.80000001192092896</v>
      </c>
      <c r="H77" s="4">
        <v>0.91111111640930176</v>
      </c>
      <c r="I77" s="4">
        <v>0.40000000596046448</v>
      </c>
      <c r="J77" s="4">
        <v>0.64999997615814209</v>
      </c>
      <c r="K77" s="4">
        <v>1</v>
      </c>
      <c r="L77" s="4">
        <v>0.93333333730697632</v>
      </c>
      <c r="M77" s="4">
        <v>0.95555555820465088</v>
      </c>
      <c r="N77" s="4">
        <v>0.4444444477558136</v>
      </c>
      <c r="P77" s="54" cm="1">
        <f t="array" aca="1" ref="P77" ca="1">INDEX(INDIRECT(trust_dq_table),(ROW()-ROW(INDIRECT(trust_dq_cols))),MATCH(selected_dq_name_xc,INDIRECT(trust_dq_cols),0))</f>
        <v>0.64999997615814209</v>
      </c>
      <c r="Q77" s="52">
        <f t="shared" ca="1" si="2"/>
        <v>110</v>
      </c>
    </row>
    <row r="78" spans="1:17" x14ac:dyDescent="0.3">
      <c r="A78" s="38" t="s">
        <v>535</v>
      </c>
      <c r="B78" s="38" t="s">
        <v>107</v>
      </c>
      <c r="C78" s="38" t="s">
        <v>31</v>
      </c>
      <c r="D78" s="3" t="s">
        <v>30</v>
      </c>
      <c r="E78" s="2">
        <v>35</v>
      </c>
      <c r="F78" s="2">
        <v>13</v>
      </c>
      <c r="G78" s="4">
        <v>5.714285746216774E-2</v>
      </c>
      <c r="H78" s="4">
        <v>0.62857145071029663</v>
      </c>
      <c r="I78" s="4">
        <v>0.28571429848670959</v>
      </c>
      <c r="J78" s="4">
        <v>0.38461539149284357</v>
      </c>
      <c r="K78" s="4">
        <v>0.97142857313156128</v>
      </c>
      <c r="L78" s="4">
        <v>0.94285714626312256</v>
      </c>
      <c r="M78" s="4">
        <v>1</v>
      </c>
      <c r="N78" s="4">
        <v>0.37142857909202581</v>
      </c>
      <c r="P78" s="4" cm="1">
        <f t="array" aca="1" ref="P78" ca="1">INDEX(INDIRECT(trust_dq_table),(ROW()-ROW(INDIRECT(trust_dq_cols))),MATCH(selected_dq_name_xc,INDIRECT(trust_dq_cols),0))</f>
        <v>0.38461539149284357</v>
      </c>
      <c r="Q78" s="52">
        <f t="shared" ca="1" si="2"/>
        <v>119</v>
      </c>
    </row>
    <row r="79" spans="1:17" x14ac:dyDescent="0.3">
      <c r="A79" s="38" t="s">
        <v>127</v>
      </c>
      <c r="B79" s="38" t="s">
        <v>126</v>
      </c>
      <c r="C79" s="38" t="s">
        <v>35</v>
      </c>
      <c r="D79" s="38" t="s">
        <v>34</v>
      </c>
      <c r="E79" s="2">
        <v>67</v>
      </c>
      <c r="F79" s="2">
        <v>32</v>
      </c>
      <c r="G79" s="4">
        <v>0.20895522832870481</v>
      </c>
      <c r="H79" s="4">
        <v>0.58208954334259033</v>
      </c>
      <c r="I79" s="4">
        <v>0.9253731369972229</v>
      </c>
      <c r="J79" s="4">
        <v>1</v>
      </c>
      <c r="K79" s="4">
        <v>0.97014927864074707</v>
      </c>
      <c r="L79" s="4">
        <v>0.94029849767684937</v>
      </c>
      <c r="M79" s="4">
        <v>0.95522385835647583</v>
      </c>
      <c r="N79" s="4">
        <v>0.47761192917823792</v>
      </c>
      <c r="P79" s="54" cm="1">
        <f t="array" aca="1" ref="P79" ca="1">INDEX(INDIRECT(trust_dq_table),(ROW()-ROW(INDIRECT(trust_dq_cols))),MATCH(selected_dq_name_xc,INDIRECT(trust_dq_cols),0))</f>
        <v>1</v>
      </c>
      <c r="Q79" s="52">
        <f t="shared" ca="1" si="2"/>
        <v>1</v>
      </c>
    </row>
    <row r="80" spans="1:17" x14ac:dyDescent="0.3">
      <c r="A80" s="38" t="s">
        <v>99</v>
      </c>
      <c r="B80" s="38" t="s">
        <v>98</v>
      </c>
      <c r="C80" s="38" t="s">
        <v>59</v>
      </c>
      <c r="D80" s="3" t="s">
        <v>25</v>
      </c>
      <c r="E80" s="2">
        <v>86</v>
      </c>
      <c r="F80" s="2">
        <v>29</v>
      </c>
      <c r="G80" s="4">
        <v>0.60465115308761597</v>
      </c>
      <c r="H80" s="4">
        <v>0.88372093439102173</v>
      </c>
      <c r="I80" s="4">
        <v>0.3372093141078949</v>
      </c>
      <c r="J80" s="4">
        <v>0.89655172824859619</v>
      </c>
      <c r="K80" s="4">
        <v>0.96511626243591309</v>
      </c>
      <c r="L80" s="4">
        <v>0.95348834991455078</v>
      </c>
      <c r="M80" s="4">
        <v>1</v>
      </c>
      <c r="N80" s="4">
        <v>0.3372093141078949</v>
      </c>
      <c r="P80" s="4" cm="1">
        <f t="array" aca="1" ref="P80" ca="1">INDEX(INDIRECT(trust_dq_table),(ROW()-ROW(INDIRECT(trust_dq_cols))),MATCH(selected_dq_name_xc,INDIRECT(trust_dq_cols),0))</f>
        <v>0.89655172824859619</v>
      </c>
      <c r="Q80" s="52">
        <f t="shared" ca="1" si="2"/>
        <v>80</v>
      </c>
    </row>
    <row r="81" spans="1:17" x14ac:dyDescent="0.3">
      <c r="A81" s="38" t="s">
        <v>536</v>
      </c>
      <c r="B81" s="38" t="s">
        <v>120</v>
      </c>
      <c r="C81" s="38" t="s">
        <v>59</v>
      </c>
      <c r="D81" s="38" t="s">
        <v>25</v>
      </c>
      <c r="E81" s="2">
        <v>114</v>
      </c>
      <c r="F81" s="2">
        <v>12</v>
      </c>
      <c r="G81" s="4">
        <v>0.1754385977983475</v>
      </c>
      <c r="H81" s="4">
        <v>2.6315789669752121E-2</v>
      </c>
      <c r="I81" s="4">
        <v>0.1140350848436356</v>
      </c>
      <c r="J81" s="4">
        <v>0.58333331346511841</v>
      </c>
      <c r="K81" s="4">
        <v>0.78070175647735596</v>
      </c>
      <c r="L81" s="4">
        <v>0.32456141710281372</v>
      </c>
      <c r="M81" s="4">
        <v>0.85087716579437256</v>
      </c>
      <c r="N81" s="4">
        <v>0.1052631586790085</v>
      </c>
      <c r="P81" s="54" cm="1">
        <f t="array" aca="1" ref="P81" ca="1">INDEX(INDIRECT(trust_dq_table),(ROW()-ROW(INDIRECT(trust_dq_cols))),MATCH(selected_dq_name_xc,INDIRECT(trust_dq_cols),0))</f>
        <v>0.58333331346511841</v>
      </c>
      <c r="Q81" s="52">
        <f t="shared" ca="1" si="2"/>
        <v>116</v>
      </c>
    </row>
    <row r="82" spans="1:17" x14ac:dyDescent="0.3">
      <c r="A82" s="38" t="s">
        <v>67</v>
      </c>
      <c r="B82" s="38" t="s">
        <v>66</v>
      </c>
      <c r="C82" s="38" t="s">
        <v>20</v>
      </c>
      <c r="D82" s="3" t="s">
        <v>19</v>
      </c>
      <c r="E82" s="2">
        <v>177</v>
      </c>
      <c r="F82" s="2">
        <v>83</v>
      </c>
      <c r="G82" s="4">
        <v>0.32203391194343572</v>
      </c>
      <c r="H82" s="4">
        <v>0.2316384166479111</v>
      </c>
      <c r="I82" s="4">
        <v>0.70056498050689697</v>
      </c>
      <c r="J82" s="4">
        <v>0.98795181512832642</v>
      </c>
      <c r="K82" s="4">
        <v>0.95480227470397949</v>
      </c>
      <c r="L82" s="4">
        <v>0.88135594129562378</v>
      </c>
      <c r="M82" s="4">
        <v>0.97740113735198975</v>
      </c>
      <c r="N82" s="4">
        <v>0.46892654895782471</v>
      </c>
      <c r="P82" s="4" cm="1">
        <f t="array" aca="1" ref="P82" ca="1">INDEX(INDIRECT(trust_dq_table),(ROW()-ROW(INDIRECT(trust_dq_cols))),MATCH(selected_dq_name_xc,INDIRECT(trust_dq_cols),0))</f>
        <v>0.98795181512832642</v>
      </c>
      <c r="Q82" s="52">
        <f t="shared" ca="1" si="2"/>
        <v>47</v>
      </c>
    </row>
    <row r="83" spans="1:17" x14ac:dyDescent="0.3">
      <c r="A83" s="38" t="s">
        <v>537</v>
      </c>
      <c r="B83" s="38" t="s">
        <v>182</v>
      </c>
      <c r="C83" s="38" t="s">
        <v>515</v>
      </c>
      <c r="D83" s="38" t="s">
        <v>38</v>
      </c>
      <c r="E83" s="2">
        <v>50</v>
      </c>
      <c r="F83" s="2">
        <v>30</v>
      </c>
      <c r="G83" s="4">
        <v>0.62000000476837158</v>
      </c>
      <c r="H83" s="4">
        <v>0.75999999046325684</v>
      </c>
      <c r="I83" s="4">
        <v>0.74000000953674316</v>
      </c>
      <c r="J83" s="4">
        <v>0.89999997615814209</v>
      </c>
      <c r="K83" s="4">
        <v>0.93999999761581421</v>
      </c>
      <c r="L83" s="4">
        <v>0.80000001192092896</v>
      </c>
      <c r="M83" s="4">
        <v>1</v>
      </c>
      <c r="N83" s="4">
        <v>0.60000002384185791</v>
      </c>
      <c r="P83" s="54" cm="1">
        <f t="array" aca="1" ref="P83" ca="1">INDEX(INDIRECT(trust_dq_table),(ROW()-ROW(INDIRECT(trust_dq_cols))),MATCH(selected_dq_name_xc,INDIRECT(trust_dq_cols),0))</f>
        <v>0.89999997615814209</v>
      </c>
      <c r="Q83" s="52">
        <f t="shared" ca="1" si="2"/>
        <v>74</v>
      </c>
    </row>
    <row r="84" spans="1:17" x14ac:dyDescent="0.3">
      <c r="A84" s="38" t="s">
        <v>56</v>
      </c>
      <c r="B84" s="38" t="s">
        <v>55</v>
      </c>
      <c r="C84" s="38" t="s">
        <v>33</v>
      </c>
      <c r="D84" s="38" t="s">
        <v>32</v>
      </c>
      <c r="E84" s="2">
        <v>83</v>
      </c>
      <c r="F84" s="2">
        <v>42</v>
      </c>
      <c r="G84" s="4">
        <v>0.72289156913757324</v>
      </c>
      <c r="H84" s="4">
        <v>0.73493975400924683</v>
      </c>
      <c r="I84" s="4">
        <v>0.54216867685317993</v>
      </c>
      <c r="J84" s="4">
        <v>0.88095235824584961</v>
      </c>
      <c r="K84" s="4">
        <v>0.96385544538497925</v>
      </c>
      <c r="L84" s="4">
        <v>0.81927710771560669</v>
      </c>
      <c r="M84" s="4">
        <v>0.9397590160369873</v>
      </c>
      <c r="N84" s="4">
        <v>0.50602412223815918</v>
      </c>
      <c r="P84" s="54" cm="1">
        <f t="array" aca="1" ref="P84" ca="1">INDEX(INDIRECT(trust_dq_table),(ROW()-ROW(INDIRECT(trust_dq_cols))),MATCH(selected_dq_name_xc,INDIRECT(trust_dq_cols),0))</f>
        <v>0.88095235824584961</v>
      </c>
      <c r="Q84" s="52">
        <f t="shared" ca="1" si="2"/>
        <v>84</v>
      </c>
    </row>
    <row r="85" spans="1:17" x14ac:dyDescent="0.3">
      <c r="A85" s="38" t="s">
        <v>538</v>
      </c>
      <c r="B85" s="38" t="s">
        <v>91</v>
      </c>
      <c r="C85" s="38" t="s">
        <v>521</v>
      </c>
      <c r="D85" s="3" t="s">
        <v>26</v>
      </c>
      <c r="E85" s="2">
        <v>90</v>
      </c>
      <c r="F85" s="2">
        <v>13</v>
      </c>
      <c r="G85" s="4">
        <v>0.62222224473953247</v>
      </c>
      <c r="H85" s="4">
        <v>0.62222224473953247</v>
      </c>
      <c r="I85" s="4">
        <v>0.36666667461395258</v>
      </c>
      <c r="J85" s="4">
        <v>1</v>
      </c>
      <c r="K85" s="4">
        <v>0.97777777910232544</v>
      </c>
      <c r="L85" s="4">
        <v>0.95555555820465088</v>
      </c>
      <c r="M85" s="4">
        <v>0.95555555820465088</v>
      </c>
      <c r="N85" s="4">
        <v>0.14444445073604581</v>
      </c>
      <c r="P85" s="4" cm="1">
        <f t="array" aca="1" ref="P85" ca="1">INDEX(INDIRECT(trust_dq_table),(ROW()-ROW(INDIRECT(trust_dq_cols))),MATCH(selected_dq_name_xc,INDIRECT(trust_dq_cols),0))</f>
        <v>1</v>
      </c>
      <c r="Q85" s="52">
        <f t="shared" ca="1" si="2"/>
        <v>1</v>
      </c>
    </row>
    <row r="86" spans="1:17" x14ac:dyDescent="0.3">
      <c r="A86" s="38" t="s">
        <v>539</v>
      </c>
      <c r="B86" s="38" t="s">
        <v>151</v>
      </c>
      <c r="C86" s="38" t="s">
        <v>40</v>
      </c>
      <c r="D86" s="3" t="s">
        <v>39</v>
      </c>
      <c r="E86" s="2">
        <v>85</v>
      </c>
      <c r="F86" s="2">
        <v>49</v>
      </c>
      <c r="G86" s="4">
        <v>0.68235296010971069</v>
      </c>
      <c r="H86" s="4">
        <v>0.91764706373214722</v>
      </c>
      <c r="I86" s="4">
        <v>0.58823531866073608</v>
      </c>
      <c r="J86" s="4">
        <v>0.95918369293212891</v>
      </c>
      <c r="K86" s="4">
        <v>1</v>
      </c>
      <c r="L86" s="4">
        <v>0.9529411792755127</v>
      </c>
      <c r="M86" s="4">
        <v>1</v>
      </c>
      <c r="N86" s="4">
        <v>0.57647061347961426</v>
      </c>
      <c r="P86" s="4" cm="1">
        <f t="array" aca="1" ref="P86" ca="1">INDEX(INDIRECT(trust_dq_table),(ROW()-ROW(INDIRECT(trust_dq_cols))),MATCH(selected_dq_name_xc,INDIRECT(trust_dq_cols),0))</f>
        <v>0.95918369293212891</v>
      </c>
      <c r="Q86" s="52">
        <f t="shared" ca="1" si="2"/>
        <v>57</v>
      </c>
    </row>
    <row r="87" spans="1:17" x14ac:dyDescent="0.3">
      <c r="A87" s="38" t="s">
        <v>177</v>
      </c>
      <c r="B87" s="38" t="s">
        <v>176</v>
      </c>
      <c r="C87" s="38" t="s">
        <v>521</v>
      </c>
      <c r="D87" s="3" t="s">
        <v>26</v>
      </c>
      <c r="E87" s="2">
        <v>72</v>
      </c>
      <c r="F87" s="2">
        <v>19</v>
      </c>
      <c r="G87" s="4">
        <v>0.84722220897674561</v>
      </c>
      <c r="H87" s="4">
        <v>0.6388888955116272</v>
      </c>
      <c r="I87" s="4">
        <v>0.40277779102325439</v>
      </c>
      <c r="J87" s="4">
        <v>0.94736844301223755</v>
      </c>
      <c r="K87" s="4">
        <v>0.95833331346511841</v>
      </c>
      <c r="L87" s="4">
        <v>0.94444441795349121</v>
      </c>
      <c r="M87" s="4">
        <v>0.9861111044883728</v>
      </c>
      <c r="N87" s="4">
        <v>0.2638888955116272</v>
      </c>
      <c r="P87" s="4" cm="1">
        <f t="array" aca="1" ref="P87" ca="1">INDEX(INDIRECT(trust_dq_table),(ROW()-ROW(INDIRECT(trust_dq_cols))),MATCH(selected_dq_name_xc,INDIRECT(trust_dq_cols),0))</f>
        <v>0.94736844301223755</v>
      </c>
      <c r="Q87" s="52">
        <f t="shared" ca="1" si="2"/>
        <v>60</v>
      </c>
    </row>
    <row r="88" spans="1:17" x14ac:dyDescent="0.3">
      <c r="A88" s="38" t="s">
        <v>240</v>
      </c>
      <c r="B88" s="38" t="s">
        <v>239</v>
      </c>
      <c r="C88" s="38" t="s">
        <v>40</v>
      </c>
      <c r="D88" s="38" t="s">
        <v>39</v>
      </c>
      <c r="E88" s="2">
        <v>65</v>
      </c>
      <c r="F88" s="2">
        <v>12</v>
      </c>
      <c r="G88" s="4">
        <v>0.69230771064758301</v>
      </c>
      <c r="H88" s="4">
        <v>0.76923078298568726</v>
      </c>
      <c r="I88" s="4">
        <v>0.24615384638309479</v>
      </c>
      <c r="J88" s="4">
        <v>1</v>
      </c>
      <c r="K88" s="4">
        <v>0.98461538553237915</v>
      </c>
      <c r="L88" s="4">
        <v>0.9384615421295166</v>
      </c>
      <c r="M88" s="4">
        <v>0.98461538553237915</v>
      </c>
      <c r="N88" s="4">
        <v>0.18461538851261139</v>
      </c>
      <c r="P88" s="54" cm="1">
        <f t="array" aca="1" ref="P88" ca="1">INDEX(INDIRECT(trust_dq_table),(ROW()-ROW(INDIRECT(trust_dq_cols))),MATCH(selected_dq_name_xc,INDIRECT(trust_dq_cols),0))</f>
        <v>1</v>
      </c>
      <c r="Q88" s="52">
        <f t="shared" ca="1" si="2"/>
        <v>1</v>
      </c>
    </row>
    <row r="89" spans="1:17" x14ac:dyDescent="0.3">
      <c r="A89" s="38" t="s">
        <v>124</v>
      </c>
      <c r="B89" s="38" t="s">
        <v>123</v>
      </c>
      <c r="C89" s="38" t="s">
        <v>31</v>
      </c>
      <c r="D89" s="3" t="s">
        <v>30</v>
      </c>
      <c r="E89" s="2">
        <v>210</v>
      </c>
      <c r="F89" s="2">
        <v>95</v>
      </c>
      <c r="G89" s="4">
        <v>0.11428571492433549</v>
      </c>
      <c r="H89" s="4">
        <v>0.46190476417541498</v>
      </c>
      <c r="I89" s="4">
        <v>0.44285714626312261</v>
      </c>
      <c r="J89" s="4">
        <v>0.85263156890869141</v>
      </c>
      <c r="K89" s="4">
        <v>0.98095238208770752</v>
      </c>
      <c r="L89" s="4">
        <v>0.91904759407043457</v>
      </c>
      <c r="M89" s="4">
        <v>0.98571425676345825</v>
      </c>
      <c r="N89" s="4">
        <v>0.4523809552192688</v>
      </c>
      <c r="P89" s="4" cm="1">
        <f t="array" aca="1" ref="P89" ca="1">INDEX(INDIRECT(trust_dq_table),(ROW()-ROW(INDIRECT(trust_dq_cols))),MATCH(selected_dq_name_xc,INDIRECT(trust_dq_cols),0))</f>
        <v>0.85263156890869141</v>
      </c>
      <c r="Q89" s="52">
        <f t="shared" ca="1" si="2"/>
        <v>92</v>
      </c>
    </row>
    <row r="90" spans="1:17" x14ac:dyDescent="0.3">
      <c r="A90" s="38" t="s">
        <v>146</v>
      </c>
      <c r="B90" s="38" t="s">
        <v>145</v>
      </c>
      <c r="C90" s="38" t="s">
        <v>6</v>
      </c>
      <c r="D90" s="38" t="s">
        <v>5</v>
      </c>
      <c r="E90" s="2">
        <v>50</v>
      </c>
      <c r="F90" s="2">
        <v>28</v>
      </c>
      <c r="G90" s="4">
        <v>0.54000002145767212</v>
      </c>
      <c r="H90" s="4">
        <v>0.81999999284744263</v>
      </c>
      <c r="I90" s="4">
        <v>0.60000002384185791</v>
      </c>
      <c r="J90" s="4">
        <v>1</v>
      </c>
      <c r="K90" s="4">
        <v>0.92000001668930054</v>
      </c>
      <c r="L90" s="4">
        <v>0.86000001430511475</v>
      </c>
      <c r="M90" s="4">
        <v>0.98000001907348633</v>
      </c>
      <c r="N90" s="4">
        <v>0.56000000238418579</v>
      </c>
      <c r="P90" s="54" cm="1">
        <f t="array" aca="1" ref="P90" ca="1">INDEX(INDIRECT(trust_dq_table),(ROW()-ROW(INDIRECT(trust_dq_cols))),MATCH(selected_dq_name_xc,INDIRECT(trust_dq_cols),0))</f>
        <v>1</v>
      </c>
      <c r="Q90" s="52">
        <f t="shared" ca="1" si="2"/>
        <v>1</v>
      </c>
    </row>
    <row r="91" spans="1:17" x14ac:dyDescent="0.3">
      <c r="A91" s="38" t="s">
        <v>252</v>
      </c>
      <c r="B91" s="38" t="s">
        <v>251</v>
      </c>
      <c r="C91" s="38" t="s">
        <v>40</v>
      </c>
      <c r="D91" s="3" t="s">
        <v>39</v>
      </c>
      <c r="E91" s="2">
        <v>80</v>
      </c>
      <c r="F91" s="2">
        <v>25</v>
      </c>
      <c r="G91" s="4">
        <v>0.75</v>
      </c>
      <c r="H91" s="4">
        <v>0.88749998807907104</v>
      </c>
      <c r="I91" s="4">
        <v>0.32499998807907099</v>
      </c>
      <c r="J91" s="4">
        <v>1</v>
      </c>
      <c r="K91" s="4">
        <v>1</v>
      </c>
      <c r="L91" s="4">
        <v>0.88749998807907104</v>
      </c>
      <c r="M91" s="4">
        <v>1</v>
      </c>
      <c r="N91" s="4">
        <v>0.3125</v>
      </c>
      <c r="P91" s="4" cm="1">
        <f t="array" aca="1" ref="P91" ca="1">INDEX(INDIRECT(trust_dq_table),(ROW()-ROW(INDIRECT(trust_dq_cols))),MATCH(selected_dq_name_xc,INDIRECT(trust_dq_cols),0))</f>
        <v>1</v>
      </c>
      <c r="Q91" s="52">
        <f t="shared" ca="1" si="2"/>
        <v>1</v>
      </c>
    </row>
    <row r="92" spans="1:17" x14ac:dyDescent="0.3">
      <c r="A92" s="38" t="s">
        <v>119</v>
      </c>
      <c r="B92" s="38" t="s">
        <v>118</v>
      </c>
      <c r="C92" s="38" t="s">
        <v>521</v>
      </c>
      <c r="D92" s="38" t="s">
        <v>26</v>
      </c>
      <c r="E92" s="2">
        <v>128</v>
      </c>
      <c r="F92" s="2">
        <v>20</v>
      </c>
      <c r="G92" s="4">
        <v>0.59375</v>
      </c>
      <c r="H92" s="4">
        <v>0.71875</v>
      </c>
      <c r="I92" s="4">
        <v>0.2421875</v>
      </c>
      <c r="J92" s="4">
        <v>0.89999997615814209</v>
      </c>
      <c r="K92" s="4">
        <v>0.9765625</v>
      </c>
      <c r="L92" s="4">
        <v>0.921875</v>
      </c>
      <c r="M92" s="4">
        <v>0.8828125</v>
      </c>
      <c r="N92" s="4">
        <v>0.15625</v>
      </c>
      <c r="P92" s="54" cm="1">
        <f t="array" aca="1" ref="P92" ca="1">INDEX(INDIRECT(trust_dq_table),(ROW()-ROW(INDIRECT(trust_dq_cols))),MATCH(selected_dq_name_xc,INDIRECT(trust_dq_cols),0))</f>
        <v>0.89999997615814209</v>
      </c>
      <c r="Q92" s="52">
        <f t="shared" ca="1" si="2"/>
        <v>74</v>
      </c>
    </row>
    <row r="93" spans="1:17" x14ac:dyDescent="0.3">
      <c r="A93" s="38" t="s">
        <v>210</v>
      </c>
      <c r="B93" s="38" t="s">
        <v>209</v>
      </c>
      <c r="C93" s="38" t="s">
        <v>24</v>
      </c>
      <c r="D93" s="3" t="s">
        <v>23</v>
      </c>
      <c r="E93" s="2">
        <v>60</v>
      </c>
      <c r="F93" s="2">
        <v>27</v>
      </c>
      <c r="G93" s="4">
        <v>0.21666666865348819</v>
      </c>
      <c r="H93" s="4">
        <v>0.69999998807907104</v>
      </c>
      <c r="I93" s="4">
        <v>0.5</v>
      </c>
      <c r="J93" s="4">
        <v>0.96296298503875732</v>
      </c>
      <c r="K93" s="4">
        <v>0.96666663885116577</v>
      </c>
      <c r="L93" s="4">
        <v>0.81666666269302368</v>
      </c>
      <c r="M93" s="4">
        <v>0.98333334922790527</v>
      </c>
      <c r="N93" s="4">
        <v>0.44999998807907099</v>
      </c>
      <c r="P93" s="4" cm="1">
        <f t="array" aca="1" ref="P93" ca="1">INDEX(INDIRECT(trust_dq_table),(ROW()-ROW(INDIRECT(trust_dq_cols))),MATCH(selected_dq_name_xc,INDIRECT(trust_dq_cols),0))</f>
        <v>0.96296298503875732</v>
      </c>
      <c r="Q93" s="52">
        <f t="shared" ca="1" si="2"/>
        <v>56</v>
      </c>
    </row>
    <row r="94" spans="1:17" x14ac:dyDescent="0.3">
      <c r="A94" s="38" t="s">
        <v>48</v>
      </c>
      <c r="B94" s="38" t="s">
        <v>47</v>
      </c>
      <c r="C94" s="38" t="s">
        <v>24</v>
      </c>
      <c r="D94" s="38" t="s">
        <v>23</v>
      </c>
      <c r="E94" s="2">
        <v>76</v>
      </c>
      <c r="F94" s="2">
        <v>15</v>
      </c>
      <c r="G94" s="4">
        <v>0.22368420660495761</v>
      </c>
      <c r="H94" s="4">
        <v>0.78947371244430542</v>
      </c>
      <c r="I94" s="4">
        <v>0.44736841320991522</v>
      </c>
      <c r="J94" s="4">
        <v>1</v>
      </c>
      <c r="K94" s="4">
        <v>0.93421053886413574</v>
      </c>
      <c r="L94" s="4">
        <v>0.96052628755569458</v>
      </c>
      <c r="M94" s="4">
        <v>1</v>
      </c>
      <c r="N94" s="4">
        <v>0.19736842811107641</v>
      </c>
      <c r="P94" s="54" cm="1">
        <f t="array" aca="1" ref="P94" ca="1">INDEX(INDIRECT(trust_dq_table),(ROW()-ROW(INDIRECT(trust_dq_cols))),MATCH(selected_dq_name_xc,INDIRECT(trust_dq_cols),0))</f>
        <v>1</v>
      </c>
      <c r="Q94" s="52">
        <f t="shared" ca="1" si="2"/>
        <v>1</v>
      </c>
    </row>
    <row r="95" spans="1:17" x14ac:dyDescent="0.3">
      <c r="A95" s="38" t="s">
        <v>540</v>
      </c>
      <c r="B95" s="38" t="s">
        <v>136</v>
      </c>
      <c r="C95" s="38" t="s">
        <v>40</v>
      </c>
      <c r="D95" s="3" t="s">
        <v>39</v>
      </c>
      <c r="E95" s="2">
        <v>47</v>
      </c>
      <c r="F95" s="2">
        <v>7</v>
      </c>
      <c r="G95" s="4">
        <v>0.87234044075012207</v>
      </c>
      <c r="H95" s="4">
        <v>0.27659574151039118</v>
      </c>
      <c r="I95" s="4">
        <v>0.36170211434364319</v>
      </c>
      <c r="J95" s="4">
        <v>0.8571428656578064</v>
      </c>
      <c r="K95" s="4">
        <v>0.87234044075012207</v>
      </c>
      <c r="L95" s="4">
        <v>0.95744681358337402</v>
      </c>
      <c r="M95" s="4">
        <v>1</v>
      </c>
      <c r="N95" s="4">
        <v>0.14893616735935211</v>
      </c>
      <c r="P95" s="4" cm="1">
        <f t="array" aca="1" ref="P95" ca="1">INDEX(INDIRECT(trust_dq_table),(ROW()-ROW(INDIRECT(trust_dq_cols))),MATCH(selected_dq_name_xc,INDIRECT(trust_dq_cols),0))</f>
        <v>0.8571428656578064</v>
      </c>
      <c r="Q95" s="52">
        <f t="shared" ca="1" si="2"/>
        <v>90</v>
      </c>
    </row>
    <row r="96" spans="1:17" x14ac:dyDescent="0.3">
      <c r="A96" s="38" t="s">
        <v>135</v>
      </c>
      <c r="B96" s="38" t="s">
        <v>134</v>
      </c>
      <c r="C96" s="38" t="s">
        <v>515</v>
      </c>
      <c r="D96" s="3" t="s">
        <v>38</v>
      </c>
      <c r="E96" s="2">
        <v>38</v>
      </c>
      <c r="F96" s="2">
        <v>19</v>
      </c>
      <c r="G96" s="4">
        <v>0.78947371244430542</v>
      </c>
      <c r="H96" s="4">
        <v>0.60526317358016968</v>
      </c>
      <c r="I96" s="4">
        <v>0.92105263471603394</v>
      </c>
      <c r="J96" s="4">
        <v>1</v>
      </c>
      <c r="K96" s="4">
        <v>0.92105263471603394</v>
      </c>
      <c r="L96" s="4">
        <v>1</v>
      </c>
      <c r="M96" s="4">
        <v>0.89473682641983032</v>
      </c>
      <c r="N96" s="4">
        <v>0.5</v>
      </c>
      <c r="P96" s="4" cm="1">
        <f t="array" aca="1" ref="P96" ca="1">INDEX(INDIRECT(trust_dq_table),(ROW()-ROW(INDIRECT(trust_dq_cols))),MATCH(selected_dq_name_xc,INDIRECT(trust_dq_cols),0))</f>
        <v>1</v>
      </c>
      <c r="Q96" s="52">
        <f t="shared" ca="1" si="2"/>
        <v>1</v>
      </c>
    </row>
    <row r="97" spans="1:17" x14ac:dyDescent="0.3">
      <c r="A97" s="38" t="s">
        <v>229</v>
      </c>
      <c r="B97" s="38" t="s">
        <v>228</v>
      </c>
      <c r="C97" s="38" t="s">
        <v>12</v>
      </c>
      <c r="D97" s="3" t="s">
        <v>11</v>
      </c>
      <c r="E97" s="2">
        <v>43</v>
      </c>
      <c r="F97" s="2">
        <v>5</v>
      </c>
      <c r="G97" s="4">
        <v>0.74418604373931885</v>
      </c>
      <c r="H97" s="4">
        <v>0.27906978130340582</v>
      </c>
      <c r="I97" s="4">
        <v>0.30232557654380798</v>
      </c>
      <c r="J97" s="4">
        <v>1</v>
      </c>
      <c r="K97" s="4">
        <v>1</v>
      </c>
      <c r="L97" s="4">
        <v>0.41860464215278631</v>
      </c>
      <c r="M97" s="4">
        <v>0.95348834991455078</v>
      </c>
      <c r="N97" s="4">
        <v>0.1162790730595589</v>
      </c>
      <c r="P97" s="4" cm="1">
        <f t="array" aca="1" ref="P97" ca="1">INDEX(INDIRECT(trust_dq_table),(ROW()-ROW(INDIRECT(trust_dq_cols))),MATCH(selected_dq_name_xc,INDIRECT(trust_dq_cols),0))</f>
        <v>1</v>
      </c>
      <c r="Q97" s="52">
        <f t="shared" ca="1" si="2"/>
        <v>1</v>
      </c>
    </row>
    <row r="98" spans="1:17" x14ac:dyDescent="0.3">
      <c r="A98" s="38" t="s">
        <v>208</v>
      </c>
      <c r="B98" s="38" t="s">
        <v>207</v>
      </c>
      <c r="C98" s="38" t="s">
        <v>33</v>
      </c>
      <c r="D98" s="38" t="s">
        <v>32</v>
      </c>
      <c r="E98" s="2">
        <v>61</v>
      </c>
      <c r="F98" s="2">
        <v>20</v>
      </c>
      <c r="G98" s="4">
        <v>0.78688526153564453</v>
      </c>
      <c r="H98" s="4">
        <v>0.90163934230804443</v>
      </c>
      <c r="I98" s="4">
        <v>0.39344263076782232</v>
      </c>
      <c r="J98" s="4">
        <v>1</v>
      </c>
      <c r="K98" s="4">
        <v>0.98360657691955566</v>
      </c>
      <c r="L98" s="4">
        <v>0.98360657691955566</v>
      </c>
      <c r="M98" s="4">
        <v>0.90163934230804443</v>
      </c>
      <c r="N98" s="4">
        <v>0.32786884903907781</v>
      </c>
      <c r="P98" s="54" cm="1">
        <f t="array" aca="1" ref="P98" ca="1">INDEX(INDIRECT(trust_dq_table),(ROW()-ROW(INDIRECT(trust_dq_cols))),MATCH(selected_dq_name_xc,INDIRECT(trust_dq_cols),0))</f>
        <v>1</v>
      </c>
      <c r="Q98" s="52">
        <f t="shared" ref="Q98:Q123" ca="1" si="3">RANK(P98,P:P,0)</f>
        <v>1</v>
      </c>
    </row>
    <row r="99" spans="1:17" x14ac:dyDescent="0.3">
      <c r="A99" s="38" t="s">
        <v>162</v>
      </c>
      <c r="B99" s="38" t="s">
        <v>161</v>
      </c>
      <c r="C99" s="38" t="s">
        <v>12</v>
      </c>
      <c r="D99" s="3" t="s">
        <v>11</v>
      </c>
      <c r="E99" s="2">
        <v>29</v>
      </c>
      <c r="F99" s="2">
        <v>7</v>
      </c>
      <c r="G99" s="4">
        <v>0.62068963050842285</v>
      </c>
      <c r="H99" s="4">
        <v>0.79310345649719238</v>
      </c>
      <c r="I99" s="4">
        <v>0.41379311680793762</v>
      </c>
      <c r="J99" s="4">
        <v>1</v>
      </c>
      <c r="K99" s="4">
        <v>1</v>
      </c>
      <c r="L99" s="4">
        <v>1</v>
      </c>
      <c r="M99" s="4">
        <v>1</v>
      </c>
      <c r="N99" s="4">
        <v>0.24137930572032931</v>
      </c>
      <c r="P99" s="4" cm="1">
        <f t="array" aca="1" ref="P99" ca="1">INDEX(INDIRECT(trust_dq_table),(ROW()-ROW(INDIRECT(trust_dq_cols))),MATCH(selected_dq_name_xc,INDIRECT(trust_dq_cols),0))</f>
        <v>1</v>
      </c>
      <c r="Q99" s="52">
        <f t="shared" ca="1" si="3"/>
        <v>1</v>
      </c>
    </row>
    <row r="100" spans="1:17" x14ac:dyDescent="0.3">
      <c r="A100" s="38" t="s">
        <v>61</v>
      </c>
      <c r="B100" s="38" t="s">
        <v>60</v>
      </c>
      <c r="C100" s="38" t="s">
        <v>59</v>
      </c>
      <c r="D100" s="3" t="s">
        <v>25</v>
      </c>
      <c r="E100" s="2">
        <v>62</v>
      </c>
      <c r="F100" s="2">
        <v>17</v>
      </c>
      <c r="G100" s="4">
        <v>0.72580647468566895</v>
      </c>
      <c r="H100" s="4">
        <v>0.93548387289047241</v>
      </c>
      <c r="I100" s="4">
        <v>0.43548387289047241</v>
      </c>
      <c r="J100" s="4">
        <v>0.94117647409439087</v>
      </c>
      <c r="K100" s="4">
        <v>0.96774190664291382</v>
      </c>
      <c r="L100" s="4">
        <v>0.96774190664291382</v>
      </c>
      <c r="M100" s="4">
        <v>0.9838709831237793</v>
      </c>
      <c r="N100" s="4">
        <v>0.27419355511665339</v>
      </c>
      <c r="P100" s="4" cm="1">
        <f t="array" aca="1" ref="P100" ca="1">INDEX(INDIRECT(trust_dq_table),(ROW()-ROW(INDIRECT(trust_dq_cols))),MATCH(selected_dq_name_xc,INDIRECT(trust_dq_cols),0))</f>
        <v>0.94117647409439087</v>
      </c>
      <c r="Q100" s="52">
        <f t="shared" ca="1" si="3"/>
        <v>62</v>
      </c>
    </row>
    <row r="101" spans="1:17" x14ac:dyDescent="0.3">
      <c r="A101" s="38" t="s">
        <v>221</v>
      </c>
      <c r="B101" s="38" t="s">
        <v>220</v>
      </c>
      <c r="C101" s="38" t="s">
        <v>6</v>
      </c>
      <c r="D101" s="38" t="s">
        <v>5</v>
      </c>
      <c r="E101" s="2">
        <v>75</v>
      </c>
      <c r="F101" s="2">
        <v>27</v>
      </c>
      <c r="G101" s="4">
        <v>0.63999998569488525</v>
      </c>
      <c r="H101" s="4">
        <v>0.69333332777023315</v>
      </c>
      <c r="I101" s="4">
        <v>0.40000000596046448</v>
      </c>
      <c r="J101" s="4">
        <v>0.85185188055038452</v>
      </c>
      <c r="K101" s="4">
        <v>0.98666667938232422</v>
      </c>
      <c r="L101" s="4">
        <v>0.97333335876464844</v>
      </c>
      <c r="M101" s="4">
        <v>0.95999997854232788</v>
      </c>
      <c r="N101" s="4">
        <v>0.36000001430511469</v>
      </c>
      <c r="P101" s="54" cm="1">
        <f t="array" aca="1" ref="P101" ca="1">INDEX(INDIRECT(trust_dq_table),(ROW()-ROW(INDIRECT(trust_dq_cols))),MATCH(selected_dq_name_xc,INDIRECT(trust_dq_cols),0))</f>
        <v>0.85185188055038452</v>
      </c>
      <c r="Q101" s="52">
        <f t="shared" ca="1" si="3"/>
        <v>93</v>
      </c>
    </row>
    <row r="102" spans="1:17" x14ac:dyDescent="0.3">
      <c r="A102" s="38" t="s">
        <v>196</v>
      </c>
      <c r="B102" s="38" t="s">
        <v>195</v>
      </c>
      <c r="C102" s="38" t="s">
        <v>20</v>
      </c>
      <c r="D102" s="3" t="s">
        <v>19</v>
      </c>
      <c r="E102" s="2">
        <v>36</v>
      </c>
      <c r="F102" s="2">
        <v>5</v>
      </c>
      <c r="G102" s="4">
        <v>0.1111111119389534</v>
      </c>
      <c r="H102" s="4">
        <v>0.4444444477558136</v>
      </c>
      <c r="I102" s="4">
        <v>0.1666666716337204</v>
      </c>
      <c r="J102" s="4">
        <v>1</v>
      </c>
      <c r="K102" s="4">
        <v>0.97222220897674561</v>
      </c>
      <c r="L102" s="4">
        <v>0.1666666716337204</v>
      </c>
      <c r="M102" s="4">
        <v>0.97222220897674561</v>
      </c>
      <c r="N102" s="4">
        <v>0.1388888955116272</v>
      </c>
      <c r="P102" s="4" cm="1">
        <f t="array" aca="1" ref="P102" ca="1">INDEX(INDIRECT(trust_dq_table),(ROW()-ROW(INDIRECT(trust_dq_cols))),MATCH(selected_dq_name_xc,INDIRECT(trust_dq_cols),0))</f>
        <v>1</v>
      </c>
      <c r="Q102" s="52">
        <f t="shared" ca="1" si="3"/>
        <v>1</v>
      </c>
    </row>
    <row r="103" spans="1:17" x14ac:dyDescent="0.3">
      <c r="A103" s="38" t="s">
        <v>122</v>
      </c>
      <c r="B103" s="38" t="s">
        <v>121</v>
      </c>
      <c r="C103" s="38" t="s">
        <v>37</v>
      </c>
      <c r="D103" s="38" t="s">
        <v>36</v>
      </c>
      <c r="E103" s="2">
        <v>109</v>
      </c>
      <c r="F103" s="2">
        <v>15</v>
      </c>
      <c r="G103" s="4">
        <v>0.87155961990356445</v>
      </c>
      <c r="H103" s="4">
        <v>0.94495415687561035</v>
      </c>
      <c r="I103" s="4">
        <v>0.41284403204917908</v>
      </c>
      <c r="J103" s="4">
        <v>1</v>
      </c>
      <c r="K103" s="4">
        <v>0.94495415687561035</v>
      </c>
      <c r="L103" s="4">
        <v>0.92660552263259888</v>
      </c>
      <c r="M103" s="4">
        <v>0.94495415687561035</v>
      </c>
      <c r="N103" s="4">
        <v>0.13761468231678009</v>
      </c>
      <c r="P103" s="54" cm="1">
        <f t="array" aca="1" ref="P103" ca="1">INDEX(INDIRECT(trust_dq_table),(ROW()-ROW(INDIRECT(trust_dq_cols))),MATCH(selected_dq_name_xc,INDIRECT(trust_dq_cols),0))</f>
        <v>1</v>
      </c>
      <c r="Q103" s="52">
        <f t="shared" ca="1" si="3"/>
        <v>1</v>
      </c>
    </row>
    <row r="104" spans="1:17" x14ac:dyDescent="0.3">
      <c r="A104" s="38" t="s">
        <v>194</v>
      </c>
      <c r="B104" s="38" t="s">
        <v>193</v>
      </c>
      <c r="C104" s="38" t="s">
        <v>40</v>
      </c>
      <c r="D104" s="3" t="s">
        <v>39</v>
      </c>
      <c r="E104" s="2">
        <v>162</v>
      </c>
      <c r="F104" s="2">
        <v>52</v>
      </c>
      <c r="G104" s="4">
        <v>0.41358023881912231</v>
      </c>
      <c r="H104" s="4">
        <v>0.6419752836227417</v>
      </c>
      <c r="I104" s="4">
        <v>0.61728394031524658</v>
      </c>
      <c r="J104" s="4">
        <v>0.86538463830947876</v>
      </c>
      <c r="K104" s="4">
        <v>1</v>
      </c>
      <c r="L104" s="4">
        <v>0.62962961196899414</v>
      </c>
      <c r="M104" s="4">
        <v>0.96296298503875732</v>
      </c>
      <c r="N104" s="4">
        <v>0.32098764181137079</v>
      </c>
      <c r="P104" s="4" cm="1">
        <f t="array" aca="1" ref="P104" ca="1">INDEX(INDIRECT(trust_dq_table),(ROW()-ROW(INDIRECT(trust_dq_cols))),MATCH(selected_dq_name_xc,INDIRECT(trust_dq_cols),0))</f>
        <v>0.86538463830947876</v>
      </c>
      <c r="Q104" s="52">
        <f t="shared" ca="1" si="3"/>
        <v>88</v>
      </c>
    </row>
    <row r="105" spans="1:17" x14ac:dyDescent="0.3">
      <c r="A105" s="38" t="s">
        <v>58</v>
      </c>
      <c r="B105" s="38" t="s">
        <v>57</v>
      </c>
      <c r="C105" s="38" t="s">
        <v>521</v>
      </c>
      <c r="D105" s="38" t="s">
        <v>26</v>
      </c>
      <c r="E105" s="2">
        <v>116</v>
      </c>
      <c r="F105" s="2">
        <v>36</v>
      </c>
      <c r="G105" s="4">
        <v>0.34482759237289429</v>
      </c>
      <c r="H105" s="4">
        <v>0.1120689660310745</v>
      </c>
      <c r="I105" s="4">
        <v>0.35344827175140381</v>
      </c>
      <c r="J105" s="4">
        <v>0.94444441795349121</v>
      </c>
      <c r="K105" s="4">
        <v>0.95689654350280762</v>
      </c>
      <c r="L105" s="4">
        <v>0.62931036949157715</v>
      </c>
      <c r="M105" s="4">
        <v>0.96551722288131714</v>
      </c>
      <c r="N105" s="4">
        <v>0.31034481525421143</v>
      </c>
      <c r="P105" s="54" cm="1">
        <f t="array" aca="1" ref="P105" ca="1">INDEX(INDIRECT(trust_dq_table),(ROW()-ROW(INDIRECT(trust_dq_cols))),MATCH(selected_dq_name_xc,INDIRECT(trust_dq_cols),0))</f>
        <v>0.94444441795349121</v>
      </c>
      <c r="Q105" s="52">
        <f t="shared" ca="1" si="3"/>
        <v>61</v>
      </c>
    </row>
    <row r="106" spans="1:17" x14ac:dyDescent="0.3">
      <c r="A106" s="38" t="s">
        <v>149</v>
      </c>
      <c r="B106" s="38" t="s">
        <v>148</v>
      </c>
      <c r="C106" s="38" t="s">
        <v>40</v>
      </c>
      <c r="D106" s="3" t="s">
        <v>39</v>
      </c>
      <c r="E106" s="2">
        <v>109</v>
      </c>
      <c r="F106" s="2">
        <v>55</v>
      </c>
      <c r="G106" s="4">
        <v>0.54128438234329224</v>
      </c>
      <c r="H106" s="4">
        <v>0.48623853921890259</v>
      </c>
      <c r="I106" s="4">
        <v>0.51376146078109741</v>
      </c>
      <c r="J106" s="4">
        <v>0.87272727489471436</v>
      </c>
      <c r="K106" s="4">
        <v>0.97247707843780518</v>
      </c>
      <c r="L106" s="4">
        <v>0.8165137767791748</v>
      </c>
      <c r="M106" s="4">
        <v>0.98165136575698853</v>
      </c>
      <c r="N106" s="4">
        <v>0.50458717346191406</v>
      </c>
      <c r="P106" s="4" cm="1">
        <f t="array" aca="1" ref="P106" ca="1">INDEX(INDIRECT(trust_dq_table),(ROW()-ROW(INDIRECT(trust_dq_cols))),MATCH(selected_dq_name_xc,INDIRECT(trust_dq_cols),0))</f>
        <v>0.87272727489471436</v>
      </c>
      <c r="Q106" s="52">
        <f t="shared" ca="1" si="3"/>
        <v>86</v>
      </c>
    </row>
    <row r="107" spans="1:17" x14ac:dyDescent="0.3">
      <c r="A107" s="38" t="s">
        <v>50</v>
      </c>
      <c r="B107" s="38" t="s">
        <v>49</v>
      </c>
      <c r="C107" s="38" t="s">
        <v>37</v>
      </c>
      <c r="D107" s="38" t="s">
        <v>36</v>
      </c>
      <c r="E107" s="2">
        <v>169</v>
      </c>
      <c r="F107" s="2">
        <v>46</v>
      </c>
      <c r="G107" s="4">
        <v>0.72781062126159668</v>
      </c>
      <c r="H107" s="4">
        <v>0.74556213617324829</v>
      </c>
      <c r="I107" s="4">
        <v>0.4792899489402771</v>
      </c>
      <c r="J107" s="4">
        <v>1</v>
      </c>
      <c r="K107" s="4">
        <v>0.95266270637512207</v>
      </c>
      <c r="L107" s="4">
        <v>0.94082838296890259</v>
      </c>
      <c r="M107" s="4">
        <v>0.97041422128677368</v>
      </c>
      <c r="N107" s="4">
        <v>0.27218934893608088</v>
      </c>
      <c r="P107" s="54" cm="1">
        <f t="array" aca="1" ref="P107" ca="1">INDEX(INDIRECT(trust_dq_table),(ROW()-ROW(INDIRECT(trust_dq_cols))),MATCH(selected_dq_name_xc,INDIRECT(trust_dq_cols),0))</f>
        <v>1</v>
      </c>
      <c r="Q107" s="52">
        <f t="shared" ca="1" si="3"/>
        <v>1</v>
      </c>
    </row>
    <row r="108" spans="1:17" x14ac:dyDescent="0.3">
      <c r="A108" s="38" t="s">
        <v>541</v>
      </c>
      <c r="B108" s="38" t="s">
        <v>202</v>
      </c>
      <c r="C108" s="38" t="s">
        <v>6</v>
      </c>
      <c r="D108" s="3" t="s">
        <v>5</v>
      </c>
      <c r="E108" s="2">
        <v>132</v>
      </c>
      <c r="F108" s="2">
        <v>40</v>
      </c>
      <c r="G108" s="4">
        <v>0.5151515007019043</v>
      </c>
      <c r="H108" s="4">
        <v>0.63636362552642822</v>
      </c>
      <c r="I108" s="4">
        <v>0.27272728085517878</v>
      </c>
      <c r="J108" s="4">
        <v>0.89999997615814209</v>
      </c>
      <c r="K108" s="4">
        <v>0.93181818723678589</v>
      </c>
      <c r="L108" s="4">
        <v>0.81818181276321411</v>
      </c>
      <c r="M108" s="4">
        <v>0.97727274894714355</v>
      </c>
      <c r="N108" s="4">
        <v>0.30303031206130981</v>
      </c>
      <c r="P108" s="4" cm="1">
        <f t="array" aca="1" ref="P108" ca="1">INDEX(INDIRECT(trust_dq_table),(ROW()-ROW(INDIRECT(trust_dq_cols))),MATCH(selected_dq_name_xc,INDIRECT(trust_dq_cols),0))</f>
        <v>0.89999997615814209</v>
      </c>
      <c r="Q108" s="52">
        <f t="shared" ca="1" si="3"/>
        <v>74</v>
      </c>
    </row>
    <row r="109" spans="1:17" x14ac:dyDescent="0.3">
      <c r="A109" s="38" t="s">
        <v>542</v>
      </c>
      <c r="B109" s="38" t="s">
        <v>222</v>
      </c>
      <c r="C109" s="38" t="s">
        <v>6</v>
      </c>
      <c r="D109" s="38" t="s">
        <v>5</v>
      </c>
      <c r="E109" s="2">
        <v>175</v>
      </c>
      <c r="F109" s="2">
        <v>52</v>
      </c>
      <c r="G109" s="4">
        <v>0.1371428519487381</v>
      </c>
      <c r="H109" s="4">
        <v>1.7142856493592259E-2</v>
      </c>
      <c r="I109" s="4">
        <v>0.38285714387893682</v>
      </c>
      <c r="J109" s="4">
        <v>0.98076921701431274</v>
      </c>
      <c r="K109" s="4">
        <v>0.94285714626312256</v>
      </c>
      <c r="L109" s="4">
        <v>0.80571430921554565</v>
      </c>
      <c r="M109" s="4">
        <v>0.9885714054107666</v>
      </c>
      <c r="N109" s="4">
        <v>0.29714286327362061</v>
      </c>
      <c r="P109" s="54" cm="1">
        <f t="array" aca="1" ref="P109" ca="1">INDEX(INDIRECT(trust_dq_table),(ROW()-ROW(INDIRECT(trust_dq_cols))),MATCH(selected_dq_name_xc,INDIRECT(trust_dq_cols),0))</f>
        <v>0.98076921701431274</v>
      </c>
      <c r="Q109" s="52">
        <f t="shared" ca="1" si="3"/>
        <v>50</v>
      </c>
    </row>
    <row r="110" spans="1:17" x14ac:dyDescent="0.3">
      <c r="A110" s="38" t="s">
        <v>543</v>
      </c>
      <c r="B110" s="38" t="s">
        <v>211</v>
      </c>
      <c r="C110" s="38" t="s">
        <v>18</v>
      </c>
      <c r="D110" s="3" t="s">
        <v>17</v>
      </c>
      <c r="E110" s="2">
        <v>48</v>
      </c>
      <c r="F110" s="2">
        <v>24</v>
      </c>
      <c r="G110" s="4">
        <v>0.77083331346511841</v>
      </c>
      <c r="H110" s="4">
        <v>0.85416668653488159</v>
      </c>
      <c r="I110" s="4">
        <v>0.52083331346511841</v>
      </c>
      <c r="J110" s="4">
        <v>1</v>
      </c>
      <c r="K110" s="4">
        <v>0.97916668653488159</v>
      </c>
      <c r="L110" s="4">
        <v>0.91666668653488159</v>
      </c>
      <c r="M110" s="4">
        <v>0.97916668653488159</v>
      </c>
      <c r="N110" s="4">
        <v>0.5</v>
      </c>
      <c r="P110" s="4" cm="1">
        <f t="array" aca="1" ref="P110" ca="1">INDEX(INDIRECT(trust_dq_table),(ROW()-ROW(INDIRECT(trust_dq_cols))),MATCH(selected_dq_name_xc,INDIRECT(trust_dq_cols),0))</f>
        <v>1</v>
      </c>
      <c r="Q110" s="52">
        <f t="shared" ca="1" si="3"/>
        <v>1</v>
      </c>
    </row>
    <row r="111" spans="1:17" x14ac:dyDescent="0.3">
      <c r="A111" s="38" t="s">
        <v>544</v>
      </c>
      <c r="B111" s="38" t="s">
        <v>137</v>
      </c>
      <c r="C111" s="38" t="s">
        <v>40</v>
      </c>
      <c r="D111" s="38" t="s">
        <v>39</v>
      </c>
      <c r="E111" s="2">
        <v>140</v>
      </c>
      <c r="F111" s="2">
        <v>73</v>
      </c>
      <c r="G111" s="4">
        <v>0.80000001192092896</v>
      </c>
      <c r="H111" s="4">
        <v>0.77142858505249023</v>
      </c>
      <c r="I111" s="4">
        <v>0.47857141494750982</v>
      </c>
      <c r="J111" s="4">
        <v>0.87671232223510742</v>
      </c>
      <c r="K111" s="4">
        <v>0.95714282989501953</v>
      </c>
      <c r="L111" s="4">
        <v>0.92857140302658081</v>
      </c>
      <c r="M111" s="4">
        <v>0.99285715818405151</v>
      </c>
      <c r="N111" s="4">
        <v>0.52142858505249023</v>
      </c>
      <c r="P111" s="54" cm="1">
        <f t="array" aca="1" ref="P111" ca="1">INDEX(INDIRECT(trust_dq_table),(ROW()-ROW(INDIRECT(trust_dq_cols))),MATCH(selected_dq_name_xc,INDIRECT(trust_dq_cols),0))</f>
        <v>0.87671232223510742</v>
      </c>
      <c r="Q111" s="52">
        <f t="shared" ca="1" si="3"/>
        <v>85</v>
      </c>
    </row>
    <row r="112" spans="1:17" x14ac:dyDescent="0.3">
      <c r="A112" s="38" t="s">
        <v>545</v>
      </c>
      <c r="B112" s="38" t="s">
        <v>147</v>
      </c>
      <c r="C112" s="38" t="s">
        <v>59</v>
      </c>
      <c r="D112" s="38" t="s">
        <v>25</v>
      </c>
      <c r="E112" s="2">
        <v>118</v>
      </c>
      <c r="F112" s="2">
        <v>20</v>
      </c>
      <c r="G112" s="4">
        <v>0.44067797064781189</v>
      </c>
      <c r="H112" s="4">
        <v>0.23728813230991361</v>
      </c>
      <c r="I112" s="4">
        <v>0.38983049988746638</v>
      </c>
      <c r="J112" s="4">
        <v>0.94999998807907104</v>
      </c>
      <c r="K112" s="4">
        <v>0.95762711763381958</v>
      </c>
      <c r="L112" s="4">
        <v>0.88983052968978882</v>
      </c>
      <c r="M112" s="4">
        <v>0.98305082321166992</v>
      </c>
      <c r="N112" s="4">
        <v>0.16949152946472171</v>
      </c>
      <c r="P112" s="54" cm="1">
        <f t="array" aca="1" ref="P112" ca="1">INDEX(INDIRECT(trust_dq_table),(ROW()-ROW(INDIRECT(trust_dq_cols))),MATCH(selected_dq_name_xc,INDIRECT(trust_dq_cols),0))</f>
        <v>0.94999998807907104</v>
      </c>
      <c r="Q112" s="52">
        <f t="shared" ca="1" si="3"/>
        <v>59</v>
      </c>
    </row>
    <row r="113" spans="1:17" x14ac:dyDescent="0.3">
      <c r="A113" s="38" t="s">
        <v>306</v>
      </c>
      <c r="B113" s="38" t="s">
        <v>255</v>
      </c>
      <c r="C113" s="38" t="s">
        <v>33</v>
      </c>
      <c r="D113" s="3" t="s">
        <v>32</v>
      </c>
      <c r="E113" s="2">
        <v>176</v>
      </c>
      <c r="F113" s="2">
        <v>25</v>
      </c>
      <c r="G113" s="4">
        <v>0.55681818723678589</v>
      </c>
      <c r="H113" s="4">
        <v>0.61931818723678589</v>
      </c>
      <c r="I113" s="4">
        <v>0.34659090638160711</v>
      </c>
      <c r="J113" s="4">
        <v>0.80000001192092896</v>
      </c>
      <c r="K113" s="4">
        <v>0.97159093618392944</v>
      </c>
      <c r="L113" s="4">
        <v>0.91477274894714355</v>
      </c>
      <c r="M113" s="4">
        <v>0.94886362552642822</v>
      </c>
      <c r="N113" s="4">
        <v>0.1420454531908035</v>
      </c>
      <c r="P113" s="4" cm="1">
        <f t="array" aca="1" ref="P113" ca="1">INDEX(INDIRECT(trust_dq_table),(ROW()-ROW(INDIRECT(trust_dq_cols))),MATCH(selected_dq_name_xc,INDIRECT(trust_dq_cols),0))</f>
        <v>0.80000001192092896</v>
      </c>
      <c r="Q113" s="52">
        <f t="shared" ca="1" si="3"/>
        <v>103</v>
      </c>
    </row>
    <row r="114" spans="1:17" x14ac:dyDescent="0.3">
      <c r="A114" s="38" t="s">
        <v>76</v>
      </c>
      <c r="B114" s="38" t="s">
        <v>75</v>
      </c>
      <c r="C114" s="38" t="s">
        <v>40</v>
      </c>
      <c r="D114" s="3" t="s">
        <v>39</v>
      </c>
      <c r="E114" s="2">
        <v>33</v>
      </c>
      <c r="F114" s="2">
        <v>9</v>
      </c>
      <c r="G114" s="4">
        <v>0.4848484992980957</v>
      </c>
      <c r="H114" s="4">
        <v>0.72727274894714355</v>
      </c>
      <c r="I114" s="4">
        <v>0.39393940567970281</v>
      </c>
      <c r="J114" s="4">
        <v>0.8888888955116272</v>
      </c>
      <c r="K114" s="4">
        <v>0.90909093618392944</v>
      </c>
      <c r="L114" s="4">
        <v>0.84848487377166748</v>
      </c>
      <c r="M114" s="4">
        <v>1</v>
      </c>
      <c r="N114" s="4">
        <v>0.27272728085517878</v>
      </c>
      <c r="P114" s="54" cm="1">
        <f t="array" aca="1" ref="P114" ca="1">INDEX(INDIRECT(trust_dq_table),(ROW()-ROW(INDIRECT(trust_dq_cols))),MATCH(selected_dq_name_xc,INDIRECT(trust_dq_cols),0))</f>
        <v>0.8888888955116272</v>
      </c>
      <c r="Q114" s="52">
        <f t="shared" ca="1" si="3"/>
        <v>82</v>
      </c>
    </row>
    <row r="115" spans="1:17" x14ac:dyDescent="0.3">
      <c r="A115" s="38" t="s">
        <v>546</v>
      </c>
      <c r="B115" s="38" t="s">
        <v>232</v>
      </c>
      <c r="C115" s="38" t="s">
        <v>4</v>
      </c>
      <c r="D115" s="38" t="s">
        <v>3</v>
      </c>
      <c r="E115" s="2">
        <v>42</v>
      </c>
      <c r="F115" s="2">
        <v>5</v>
      </c>
      <c r="G115" s="4">
        <v>0.71428573131561279</v>
      </c>
      <c r="H115" s="4">
        <v>0.9047619104385376</v>
      </c>
      <c r="I115" s="4">
        <v>0.4047619104385376</v>
      </c>
      <c r="J115" s="4">
        <v>1</v>
      </c>
      <c r="K115" s="4">
        <v>0.97619044780731201</v>
      </c>
      <c r="L115" s="4">
        <v>0.61904764175415039</v>
      </c>
      <c r="M115" s="4">
        <v>0.97619044780731201</v>
      </c>
      <c r="N115" s="4">
        <v>0.1190476194024086</v>
      </c>
      <c r="P115" s="4" cm="1">
        <f t="array" aca="1" ref="P115" ca="1">INDEX(INDIRECT(trust_dq_table),(ROW()-ROW(INDIRECT(trust_dq_cols))),MATCH(selected_dq_name_xc,INDIRECT(trust_dq_cols),0))</f>
        <v>1</v>
      </c>
      <c r="Q115" s="52">
        <f t="shared" ca="1" si="3"/>
        <v>1</v>
      </c>
    </row>
    <row r="116" spans="1:17" x14ac:dyDescent="0.3">
      <c r="A116" s="38" t="s">
        <v>547</v>
      </c>
      <c r="B116" s="38" t="s">
        <v>225</v>
      </c>
      <c r="C116" s="38" t="s">
        <v>10</v>
      </c>
      <c r="D116" s="3" t="s">
        <v>9</v>
      </c>
      <c r="E116" s="2">
        <v>70</v>
      </c>
      <c r="F116" s="2">
        <v>30</v>
      </c>
      <c r="G116" s="4">
        <v>0.78571426868438721</v>
      </c>
      <c r="H116" s="4">
        <v>0.89999997615814209</v>
      </c>
      <c r="I116" s="4">
        <v>0.51428574323654175</v>
      </c>
      <c r="J116" s="4">
        <v>1</v>
      </c>
      <c r="K116" s="4">
        <v>0.97142857313156128</v>
      </c>
      <c r="L116" s="4">
        <v>0.91428571939468384</v>
      </c>
      <c r="M116" s="4">
        <v>0.98571425676345825</v>
      </c>
      <c r="N116" s="4">
        <v>0.4285714328289032</v>
      </c>
      <c r="P116" s="54" cm="1">
        <f t="array" aca="1" ref="P116" ca="1">INDEX(INDIRECT(trust_dq_table),(ROW()-ROW(INDIRECT(trust_dq_cols))),MATCH(selected_dq_name_xc,INDIRECT(trust_dq_cols),0))</f>
        <v>1</v>
      </c>
      <c r="Q116" s="52">
        <f t="shared" ca="1" si="3"/>
        <v>1</v>
      </c>
    </row>
    <row r="117" spans="1:17" x14ac:dyDescent="0.3">
      <c r="A117" s="38" t="s">
        <v>115</v>
      </c>
      <c r="B117" s="38" t="s">
        <v>114</v>
      </c>
      <c r="C117" s="38" t="s">
        <v>8</v>
      </c>
      <c r="D117" s="38" t="s">
        <v>7</v>
      </c>
      <c r="E117" s="2">
        <v>52</v>
      </c>
      <c r="F117" s="2">
        <v>29</v>
      </c>
      <c r="G117" s="4">
        <v>0.73076921701431274</v>
      </c>
      <c r="H117" s="4">
        <v>0.82692307233810425</v>
      </c>
      <c r="I117" s="4">
        <v>0.53846156597137451</v>
      </c>
      <c r="J117" s="4">
        <v>0.89655172824859619</v>
      </c>
      <c r="K117" s="4">
        <v>1</v>
      </c>
      <c r="L117" s="4">
        <v>0.98076921701431274</v>
      </c>
      <c r="M117" s="4">
        <v>0.98076921701431274</v>
      </c>
      <c r="N117" s="4">
        <v>0.55769228935241699</v>
      </c>
      <c r="P117" s="4" cm="1">
        <f t="array" aca="1" ref="P117" ca="1">INDEX(INDIRECT(trust_dq_table),(ROW()-ROW(INDIRECT(trust_dq_cols))),MATCH(selected_dq_name_xc,INDIRECT(trust_dq_cols),0))</f>
        <v>0.89655172824859619</v>
      </c>
      <c r="Q117" s="52">
        <f t="shared" ca="1" si="3"/>
        <v>80</v>
      </c>
    </row>
    <row r="118" spans="1:17" x14ac:dyDescent="0.3">
      <c r="A118" s="38" t="s">
        <v>548</v>
      </c>
      <c r="B118" s="38" t="s">
        <v>150</v>
      </c>
      <c r="C118" s="38" t="s">
        <v>20</v>
      </c>
      <c r="D118" s="38" t="s">
        <v>19</v>
      </c>
      <c r="E118" s="2">
        <v>17</v>
      </c>
      <c r="F118" s="2">
        <v>6</v>
      </c>
      <c r="G118" s="4">
        <v>0.17647059261798859</v>
      </c>
      <c r="H118" s="4">
        <v>0.29411765933036799</v>
      </c>
      <c r="I118" s="4">
        <v>0.58823531866073608</v>
      </c>
      <c r="J118" s="4">
        <v>1</v>
      </c>
      <c r="K118" s="4">
        <v>1</v>
      </c>
      <c r="L118" s="4">
        <v>0.64705884456634521</v>
      </c>
      <c r="M118" s="4">
        <v>0.94117647409439087</v>
      </c>
      <c r="N118" s="4">
        <v>0.35294118523597717</v>
      </c>
      <c r="P118" s="54" cm="1">
        <f t="array" aca="1" ref="P118" ca="1">INDEX(INDIRECT(trust_dq_table),(ROW()-ROW(INDIRECT(trust_dq_cols))),MATCH(selected_dq_name_xc,INDIRECT(trust_dq_cols),0))</f>
        <v>1</v>
      </c>
      <c r="Q118" s="52">
        <f t="shared" ca="1" si="3"/>
        <v>1</v>
      </c>
    </row>
    <row r="119" spans="1:17" x14ac:dyDescent="0.3">
      <c r="A119" s="38" t="s">
        <v>78</v>
      </c>
      <c r="B119" s="38" t="s">
        <v>77</v>
      </c>
      <c r="C119" s="38" t="s">
        <v>4</v>
      </c>
      <c r="D119" s="38" t="s">
        <v>3</v>
      </c>
      <c r="E119" s="2">
        <v>75</v>
      </c>
      <c r="F119" s="2">
        <v>25</v>
      </c>
      <c r="G119" s="4">
        <v>0.53333336114883423</v>
      </c>
      <c r="H119" s="4">
        <v>0.90666669607162476</v>
      </c>
      <c r="I119" s="4">
        <v>0.68000000715255737</v>
      </c>
      <c r="J119" s="4">
        <v>1</v>
      </c>
      <c r="K119" s="4">
        <v>0.92000001668930054</v>
      </c>
      <c r="L119" s="4">
        <v>0.97333335876464844</v>
      </c>
      <c r="M119" s="4">
        <v>0.9466666579246521</v>
      </c>
      <c r="N119" s="4">
        <v>0.3333333432674408</v>
      </c>
      <c r="P119" s="54" cm="1">
        <f t="array" aca="1" ref="P119" ca="1">INDEX(INDIRECT(trust_dq_table),(ROW()-ROW(INDIRECT(trust_dq_cols))),MATCH(selected_dq_name_xc,INDIRECT(trust_dq_cols),0))</f>
        <v>1</v>
      </c>
      <c r="Q119" s="52">
        <f t="shared" ca="1" si="3"/>
        <v>1</v>
      </c>
    </row>
    <row r="120" spans="1:17" x14ac:dyDescent="0.3">
      <c r="A120" s="38" t="s">
        <v>231</v>
      </c>
      <c r="B120" s="38" t="s">
        <v>230</v>
      </c>
      <c r="C120" s="38" t="s">
        <v>40</v>
      </c>
      <c r="D120" s="3" t="s">
        <v>39</v>
      </c>
      <c r="E120" s="2">
        <v>88</v>
      </c>
      <c r="F120" s="2">
        <v>48</v>
      </c>
      <c r="G120" s="4">
        <v>0.82954543828964233</v>
      </c>
      <c r="H120" s="4">
        <v>0.93181818723678589</v>
      </c>
      <c r="I120" s="4">
        <v>0.54545456171035767</v>
      </c>
      <c r="J120" s="4">
        <v>0.91666668653488159</v>
      </c>
      <c r="K120" s="4">
        <v>0.96590906381607056</v>
      </c>
      <c r="L120" s="4">
        <v>0.94318181276321411</v>
      </c>
      <c r="M120" s="4">
        <v>0.95454543828964233</v>
      </c>
      <c r="N120" s="4">
        <v>0.54545456171035767</v>
      </c>
      <c r="P120" s="4" cm="1">
        <f t="array" aca="1" ref="P120" ca="1">INDEX(INDIRECT(trust_dq_table),(ROW()-ROW(INDIRECT(trust_dq_cols))),MATCH(selected_dq_name_xc,INDIRECT(trust_dq_cols),0))</f>
        <v>0.91666668653488159</v>
      </c>
      <c r="Q120" s="52">
        <f t="shared" ca="1" si="3"/>
        <v>70</v>
      </c>
    </row>
    <row r="121" spans="1:17" x14ac:dyDescent="0.3">
      <c r="A121" s="38" t="s">
        <v>192</v>
      </c>
      <c r="B121" s="38" t="s">
        <v>191</v>
      </c>
      <c r="C121" s="38" t="s">
        <v>12</v>
      </c>
      <c r="D121" s="38" t="s">
        <v>11</v>
      </c>
      <c r="E121" s="2">
        <v>49</v>
      </c>
      <c r="F121" s="2">
        <v>14</v>
      </c>
      <c r="G121" s="4">
        <v>0.77551019191741943</v>
      </c>
      <c r="H121" s="4">
        <v>0.93877553939819336</v>
      </c>
      <c r="I121" s="4">
        <v>0.38775509595870972</v>
      </c>
      <c r="J121" s="4">
        <v>0.92857140302658081</v>
      </c>
      <c r="K121" s="4">
        <v>1</v>
      </c>
      <c r="L121" s="4">
        <v>0.97959184646606445</v>
      </c>
      <c r="M121" s="4">
        <v>1</v>
      </c>
      <c r="N121" s="4">
        <v>0.28571429848670959</v>
      </c>
      <c r="P121" s="54" cm="1">
        <f t="array" aca="1" ref="P121" ca="1">INDEX(INDIRECT(trust_dq_table),(ROW()-ROW(INDIRECT(trust_dq_cols))),MATCH(selected_dq_name_xc,INDIRECT(trust_dq_cols),0))</f>
        <v>0.92857140302658081</v>
      </c>
      <c r="Q121" s="52">
        <f t="shared" ca="1" si="3"/>
        <v>67</v>
      </c>
    </row>
    <row r="122" spans="1:17" x14ac:dyDescent="0.3">
      <c r="A122" s="38" t="s">
        <v>153</v>
      </c>
      <c r="B122" s="38" t="s">
        <v>152</v>
      </c>
      <c r="C122" s="38" t="s">
        <v>40</v>
      </c>
      <c r="D122" s="3" t="s">
        <v>39</v>
      </c>
      <c r="E122" s="2">
        <v>38</v>
      </c>
      <c r="F122" s="2">
        <v>12</v>
      </c>
      <c r="G122" s="4">
        <v>7.8947365283966064E-2</v>
      </c>
      <c r="H122" s="4">
        <v>0.5</v>
      </c>
      <c r="I122" s="4">
        <v>0.3684210479259491</v>
      </c>
      <c r="J122" s="4">
        <v>0.58333331346511841</v>
      </c>
      <c r="K122" s="4">
        <v>0.94736844301223755</v>
      </c>
      <c r="L122" s="4">
        <v>0.89473682641983032</v>
      </c>
      <c r="M122" s="4">
        <v>0.97368419170379639</v>
      </c>
      <c r="N122" s="4">
        <v>0.31578946113586431</v>
      </c>
      <c r="P122" s="4" cm="1">
        <f t="array" aca="1" ref="P122" ca="1">INDEX(INDIRECT(trust_dq_table),(ROW()-ROW(INDIRECT(trust_dq_cols))),MATCH(selected_dq_name_xc,INDIRECT(trust_dq_cols),0))</f>
        <v>0.58333331346511841</v>
      </c>
      <c r="Q122" s="52">
        <f t="shared" ca="1" si="3"/>
        <v>116</v>
      </c>
    </row>
    <row r="123" spans="1:17" x14ac:dyDescent="0.3">
      <c r="A123" s="38" t="s">
        <v>549</v>
      </c>
      <c r="B123" s="38" t="s">
        <v>85</v>
      </c>
      <c r="C123" s="38" t="s">
        <v>524</v>
      </c>
      <c r="D123" s="22" t="s">
        <v>13</v>
      </c>
      <c r="E123" s="2">
        <v>110</v>
      </c>
      <c r="F123" s="2">
        <v>37</v>
      </c>
      <c r="G123" s="4">
        <v>0.6454545259475708</v>
      </c>
      <c r="H123" s="4">
        <v>0.76363635063171387</v>
      </c>
      <c r="I123" s="4">
        <v>0.44545453786849981</v>
      </c>
      <c r="J123" s="4">
        <v>1</v>
      </c>
      <c r="K123" s="4">
        <v>0.98181819915771484</v>
      </c>
      <c r="L123" s="4">
        <v>0.89090907573699951</v>
      </c>
      <c r="M123" s="4">
        <v>0.99090909957885742</v>
      </c>
      <c r="N123" s="4">
        <v>0.33636364340782171</v>
      </c>
      <c r="P123" s="55" cm="1">
        <f t="array" aca="1" ref="P123" ca="1">INDEX(INDIRECT(trust_dq_table),(ROW()-ROW(INDIRECT(trust_dq_cols))),MATCH(selected_dq_name_xc,INDIRECT(trust_dq_cols),0))</f>
        <v>1</v>
      </c>
      <c r="Q123" s="52">
        <f t="shared" ca="1" si="3"/>
        <v>1</v>
      </c>
    </row>
  </sheetData>
  <sortState xmlns:xlrd2="http://schemas.microsoft.com/office/spreadsheetml/2017/richdata2" ref="A2:Q124">
    <sortCondition ref="A2:A124"/>
  </sortState>
  <conditionalFormatting sqref="P1:P1048576">
    <cfRule type="top10" dxfId="36" priority="8" bottom="1" rank="1"/>
    <cfRule type="top10" dxfId="35" priority="9" rank="1"/>
  </conditionalFormatting>
  <conditionalFormatting sqref="Q2:Q123">
    <cfRule type="top10" dxfId="34" priority="69" rank="1"/>
    <cfRule type="top10" dxfId="33" priority="70" bottom="1" rank="1"/>
  </conditionalFormatting>
  <conditionalFormatting sqref="Q124:Q1048576 Q1">
    <cfRule type="top10" dxfId="32" priority="4" rank="1"/>
    <cfRule type="top10" dxfId="31" priority="5" bottom="1" rank="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O22"/>
  <sheetViews>
    <sheetView workbookViewId="0">
      <selection activeCell="K28" sqref="K28"/>
    </sheetView>
  </sheetViews>
  <sheetFormatPr defaultRowHeight="14.4" x14ac:dyDescent="0.3"/>
  <cols>
    <col min="1" max="1" width="41.44140625" bestFit="1" customWidth="1"/>
    <col min="2" max="2" width="13.33203125" bestFit="1" customWidth="1"/>
    <col min="3" max="4" width="7" style="49" bestFit="1" customWidth="1"/>
    <col min="5" max="9" width="9.5546875" style="4" bestFit="1" customWidth="1"/>
    <col min="10" max="10" width="10.5546875" style="4" bestFit="1" customWidth="1"/>
    <col min="11" max="11" width="9.5546875" style="4" bestFit="1" customWidth="1"/>
    <col min="12" max="12" width="9.5546875" style="4" customWidth="1"/>
    <col min="14" max="14" width="19.88671875" customWidth="1"/>
    <col min="15" max="15" width="18.88671875" customWidth="1"/>
  </cols>
  <sheetData>
    <row r="1" spans="1:15" x14ac:dyDescent="0.3">
      <c r="A1" t="s">
        <v>1</v>
      </c>
      <c r="B1" t="s">
        <v>0</v>
      </c>
      <c r="C1" s="57" t="s">
        <v>2</v>
      </c>
      <c r="D1" s="57" t="s">
        <v>308</v>
      </c>
      <c r="E1" s="4" t="s">
        <v>270</v>
      </c>
      <c r="F1" s="4" t="s">
        <v>271</v>
      </c>
      <c r="G1" s="4" t="s">
        <v>272</v>
      </c>
      <c r="H1" s="4" t="s">
        <v>307</v>
      </c>
      <c r="I1" s="4" t="s">
        <v>273</v>
      </c>
      <c r="J1" s="4" t="s">
        <v>274</v>
      </c>
      <c r="K1" s="4" t="s">
        <v>275</v>
      </c>
      <c r="L1" s="82" t="s">
        <v>437</v>
      </c>
      <c r="M1" t="s">
        <v>408</v>
      </c>
      <c r="N1" s="6" t="s">
        <v>283</v>
      </c>
      <c r="O1" s="6" t="s">
        <v>284</v>
      </c>
    </row>
    <row r="2" spans="1:15" x14ac:dyDescent="0.3">
      <c r="A2" s="3" t="s">
        <v>4</v>
      </c>
      <c r="B2" s="3" t="s">
        <v>3</v>
      </c>
      <c r="C2" s="2">
        <v>475</v>
      </c>
      <c r="D2" s="2">
        <v>143</v>
      </c>
      <c r="E2" s="4">
        <v>0.58315789699554443</v>
      </c>
      <c r="F2" s="4">
        <v>0.79578948020935059</v>
      </c>
      <c r="G2" s="4">
        <v>0.55789476633071899</v>
      </c>
      <c r="H2" s="4">
        <v>0.99300700426101685</v>
      </c>
      <c r="I2" s="4">
        <v>0.96210527420043945</v>
      </c>
      <c r="J2" s="4">
        <v>0.78947371244430542</v>
      </c>
      <c r="K2" s="4">
        <v>0.96210527420043945</v>
      </c>
      <c r="L2" s="4">
        <v>0.30105262994766241</v>
      </c>
      <c r="N2" s="52" cm="1">
        <f t="array" aca="1" ref="N2" ca="1">INDEX(INDIRECT(alliance_dq_table),(ROW()-ROW(INDIRECT(alliance_dq_cols))),MATCH(selected_dq_name_xc,INDIRECT(alliance_dq_cols),0))</f>
        <v>0.99300700426101685</v>
      </c>
      <c r="O2" s="7">
        <f t="shared" ref="O2:O22" ca="1" si="0">RANK(N2,N:N,0)</f>
        <v>1</v>
      </c>
    </row>
    <row r="3" spans="1:15" x14ac:dyDescent="0.3">
      <c r="A3" s="3" t="s">
        <v>6</v>
      </c>
      <c r="B3" s="3" t="s">
        <v>5</v>
      </c>
      <c r="C3" s="2">
        <v>692</v>
      </c>
      <c r="D3" s="2">
        <v>282</v>
      </c>
      <c r="E3" s="4">
        <v>0.38728323578834528</v>
      </c>
      <c r="F3" s="4">
        <v>0.4595375657081604</v>
      </c>
      <c r="G3" s="4">
        <v>0.45231214165687561</v>
      </c>
      <c r="H3" s="4">
        <v>0.93971633911132813</v>
      </c>
      <c r="I3" s="4">
        <v>0.95375722646713257</v>
      </c>
      <c r="J3" s="4">
        <v>0.81791907548904419</v>
      </c>
      <c r="K3" s="4">
        <v>0.9768785834312439</v>
      </c>
      <c r="L3" s="4">
        <v>0.40751445293426508</v>
      </c>
      <c r="N3" s="4" cm="1">
        <f t="array" aca="1" ref="N3" ca="1">INDEX(INDIRECT(alliance_dq_table),(ROW()-ROW(INDIRECT(alliance_dq_cols))),MATCH(selected_dq_name_xc,INDIRECT(alliance_dq_cols),0))</f>
        <v>0.93971633911132813</v>
      </c>
      <c r="O3" s="7">
        <f t="shared" ca="1" si="0"/>
        <v>9</v>
      </c>
    </row>
    <row r="4" spans="1:15" x14ac:dyDescent="0.3">
      <c r="A4" s="3" t="s">
        <v>8</v>
      </c>
      <c r="B4" s="3" t="s">
        <v>7</v>
      </c>
      <c r="C4" s="2">
        <v>591</v>
      </c>
      <c r="D4" s="2">
        <v>242</v>
      </c>
      <c r="E4" s="4">
        <v>0.50761419534683228</v>
      </c>
      <c r="F4" s="4">
        <v>0.63451778888702393</v>
      </c>
      <c r="G4" s="4">
        <v>0.42470389604568481</v>
      </c>
      <c r="H4" s="4">
        <v>0.75619834661483765</v>
      </c>
      <c r="I4" s="4">
        <v>0.97123521566390991</v>
      </c>
      <c r="J4" s="4">
        <v>0.82402706146240234</v>
      </c>
      <c r="K4" s="4">
        <v>0.98815566301345825</v>
      </c>
      <c r="L4" s="4">
        <v>0.40947547554969788</v>
      </c>
      <c r="N4" s="54" cm="1">
        <f t="array" aca="1" ref="N4" ca="1">INDEX(INDIRECT(alliance_dq_table),(ROW()-ROW(INDIRECT(alliance_dq_cols))),MATCH(selected_dq_name_xc,INDIRECT(alliance_dq_cols),0))</f>
        <v>0.75619834661483765</v>
      </c>
      <c r="O4" s="7">
        <f t="shared" ca="1" si="0"/>
        <v>20</v>
      </c>
    </row>
    <row r="5" spans="1:15" x14ac:dyDescent="0.3">
      <c r="A5" s="3" t="s">
        <v>10</v>
      </c>
      <c r="B5" s="3" t="s">
        <v>9</v>
      </c>
      <c r="C5" s="2">
        <v>461</v>
      </c>
      <c r="D5" s="2">
        <v>164</v>
      </c>
      <c r="E5" s="4">
        <v>0.51193058490753174</v>
      </c>
      <c r="F5" s="4">
        <v>0.37310194969177252</v>
      </c>
      <c r="G5" s="4">
        <v>0.37527114152908331</v>
      </c>
      <c r="H5" s="4">
        <v>0.89634144306182861</v>
      </c>
      <c r="I5" s="4">
        <v>0.96963125467300415</v>
      </c>
      <c r="J5" s="4">
        <v>0.82212579250335693</v>
      </c>
      <c r="K5" s="4">
        <v>0.96963125467300415</v>
      </c>
      <c r="L5" s="4">
        <v>0.35574838519096369</v>
      </c>
      <c r="N5" s="4" cm="1">
        <f t="array" aca="1" ref="N5" ca="1">INDEX(INDIRECT(alliance_dq_table),(ROW()-ROW(INDIRECT(alliance_dq_cols))),MATCH(selected_dq_name_xc,INDIRECT(alliance_dq_cols),0))</f>
        <v>0.89634144306182861</v>
      </c>
      <c r="O5" s="7">
        <f t="shared" ca="1" si="0"/>
        <v>11</v>
      </c>
    </row>
    <row r="6" spans="1:15" x14ac:dyDescent="0.3">
      <c r="A6" s="3" t="s">
        <v>12</v>
      </c>
      <c r="B6" s="3" t="s">
        <v>11</v>
      </c>
      <c r="C6" s="2">
        <v>434</v>
      </c>
      <c r="D6" s="2">
        <v>77</v>
      </c>
      <c r="E6" s="4">
        <v>0.57834100723266602</v>
      </c>
      <c r="F6" s="4">
        <v>0.63824886083602905</v>
      </c>
      <c r="G6" s="4">
        <v>0.25115206837654108</v>
      </c>
      <c r="H6" s="4">
        <v>0.88311690092086792</v>
      </c>
      <c r="I6" s="4">
        <v>0.96313363313674927</v>
      </c>
      <c r="J6" s="4">
        <v>0.56451612710952759</v>
      </c>
      <c r="K6" s="4">
        <v>0.98617511987686157</v>
      </c>
      <c r="L6" s="4">
        <v>0.17741934955120089</v>
      </c>
      <c r="N6" s="54" cm="1">
        <f t="array" aca="1" ref="N6" ca="1">INDEX(INDIRECT(alliance_dq_table),(ROW()-ROW(INDIRECT(alliance_dq_cols))),MATCH(selected_dq_name_xc,INDIRECT(alliance_dq_cols),0))</f>
        <v>0.88311690092086792</v>
      </c>
      <c r="O6" s="7">
        <f t="shared" ca="1" si="0"/>
        <v>12</v>
      </c>
    </row>
    <row r="7" spans="1:15" x14ac:dyDescent="0.3">
      <c r="A7" s="3" t="s">
        <v>524</v>
      </c>
      <c r="B7" s="3" t="s">
        <v>13</v>
      </c>
      <c r="C7" s="2">
        <v>282</v>
      </c>
      <c r="D7" s="2">
        <v>116</v>
      </c>
      <c r="E7" s="4">
        <v>0.3226950466632843</v>
      </c>
      <c r="F7" s="4">
        <v>0.68794327974319458</v>
      </c>
      <c r="G7" s="4">
        <v>0.5070921778678894</v>
      </c>
      <c r="H7" s="4">
        <v>0.98275864124298096</v>
      </c>
      <c r="I7" s="4">
        <v>0.97517728805541992</v>
      </c>
      <c r="J7" s="4">
        <v>0.90780138969421387</v>
      </c>
      <c r="K7" s="4">
        <v>0.9822695255279541</v>
      </c>
      <c r="L7" s="4">
        <v>0.41134750843048101</v>
      </c>
      <c r="N7" s="4" cm="1">
        <f t="array" aca="1" ref="N7" ca="1">INDEX(INDIRECT(alliance_dq_table),(ROW()-ROW(INDIRECT(alliance_dq_cols))),MATCH(selected_dq_name_xc,INDIRECT(alliance_dq_cols),0))</f>
        <v>0.98275864124298096</v>
      </c>
      <c r="O7" s="7">
        <f t="shared" ca="1" si="0"/>
        <v>3</v>
      </c>
    </row>
    <row r="8" spans="1:15" x14ac:dyDescent="0.3">
      <c r="A8" s="3" t="s">
        <v>16</v>
      </c>
      <c r="B8" s="3" t="s">
        <v>15</v>
      </c>
      <c r="C8" s="2">
        <v>339</v>
      </c>
      <c r="D8" s="2">
        <v>92</v>
      </c>
      <c r="E8" s="4">
        <v>0.58407080173492432</v>
      </c>
      <c r="F8" s="4">
        <v>0.6194690465927124</v>
      </c>
      <c r="G8" s="4">
        <v>0.31563422083854681</v>
      </c>
      <c r="H8" s="4">
        <v>0.82608693838119507</v>
      </c>
      <c r="I8" s="4">
        <v>0.95870208740234375</v>
      </c>
      <c r="J8" s="4">
        <v>0.7020648717880249</v>
      </c>
      <c r="K8" s="4">
        <v>0.95280236005783081</v>
      </c>
      <c r="L8" s="4">
        <v>0.27138644456863398</v>
      </c>
      <c r="N8" s="54" cm="1">
        <f t="array" aca="1" ref="N8" ca="1">INDEX(INDIRECT(alliance_dq_table),(ROW()-ROW(INDIRECT(alliance_dq_cols))),MATCH(selected_dq_name_xc,INDIRECT(alliance_dq_cols),0))</f>
        <v>0.82608693838119507</v>
      </c>
      <c r="O8" s="7">
        <f t="shared" ca="1" si="0"/>
        <v>16</v>
      </c>
    </row>
    <row r="9" spans="1:15" x14ac:dyDescent="0.3">
      <c r="A9" s="3" t="s">
        <v>18</v>
      </c>
      <c r="B9" s="3" t="s">
        <v>17</v>
      </c>
      <c r="C9" s="2">
        <v>287</v>
      </c>
      <c r="D9" s="2">
        <v>126</v>
      </c>
      <c r="E9" s="4">
        <v>0.5749129056930542</v>
      </c>
      <c r="F9" s="4">
        <v>0.82578396797180176</v>
      </c>
      <c r="G9" s="4">
        <v>0.51567941904067993</v>
      </c>
      <c r="H9" s="4">
        <v>0.97619044780731201</v>
      </c>
      <c r="I9" s="4">
        <v>0.96515679359436035</v>
      </c>
      <c r="J9" s="4">
        <v>0.96864110231399536</v>
      </c>
      <c r="K9" s="4">
        <v>0.97560977935791016</v>
      </c>
      <c r="L9" s="4">
        <v>0.43902438879013062</v>
      </c>
      <c r="N9" s="4" cm="1">
        <f t="array" aca="1" ref="N9" ca="1">INDEX(INDIRECT(alliance_dq_table),(ROW()-ROW(INDIRECT(alliance_dq_cols))),MATCH(selected_dq_name_xc,INDIRECT(alliance_dq_cols),0))</f>
        <v>0.97619044780731201</v>
      </c>
      <c r="O9" s="7">
        <f t="shared" ca="1" si="0"/>
        <v>5</v>
      </c>
    </row>
    <row r="10" spans="1:15" x14ac:dyDescent="0.3">
      <c r="A10" s="3" t="s">
        <v>20</v>
      </c>
      <c r="B10" s="3" t="s">
        <v>19</v>
      </c>
      <c r="C10" s="2">
        <v>274</v>
      </c>
      <c r="D10" s="2">
        <v>115</v>
      </c>
      <c r="E10" s="4">
        <v>0.27372261881828308</v>
      </c>
      <c r="F10" s="4">
        <v>0.29927006363868708</v>
      </c>
      <c r="G10" s="4">
        <v>0.5948905348777771</v>
      </c>
      <c r="H10" s="4">
        <v>0.95652174949645996</v>
      </c>
      <c r="I10" s="4">
        <v>0.94160586595535278</v>
      </c>
      <c r="J10" s="4">
        <v>0.77737224102020264</v>
      </c>
      <c r="K10" s="4">
        <v>0.970802903175354</v>
      </c>
      <c r="L10" s="4">
        <v>0.41970804333686829</v>
      </c>
      <c r="N10" s="54" cm="1">
        <f t="array" aca="1" ref="N10" ca="1">INDEX(INDIRECT(alliance_dq_table),(ROW()-ROW(INDIRECT(alliance_dq_cols))),MATCH(selected_dq_name_xc,INDIRECT(alliance_dq_cols),0))</f>
        <v>0.95652174949645996</v>
      </c>
      <c r="O10" s="7">
        <f t="shared" ca="1" si="0"/>
        <v>8</v>
      </c>
    </row>
    <row r="11" spans="1:15" x14ac:dyDescent="0.3">
      <c r="A11" s="3" t="s">
        <v>22</v>
      </c>
      <c r="B11" s="3" t="s">
        <v>21</v>
      </c>
      <c r="C11" s="2">
        <v>223</v>
      </c>
      <c r="D11" s="2">
        <v>67</v>
      </c>
      <c r="E11" s="4">
        <v>0.6636771559715271</v>
      </c>
      <c r="F11" s="4">
        <v>0.286995530128479</v>
      </c>
      <c r="G11" s="4">
        <v>0.30044841766357422</v>
      </c>
      <c r="H11" s="4">
        <v>0.746268630027771</v>
      </c>
      <c r="I11" s="4">
        <v>0.97757846117019653</v>
      </c>
      <c r="J11" s="4">
        <v>0.70403587818145752</v>
      </c>
      <c r="K11" s="4">
        <v>0.97757846117019653</v>
      </c>
      <c r="L11" s="4">
        <v>0.30044841766357422</v>
      </c>
      <c r="N11" s="4" cm="1">
        <f t="array" aca="1" ref="N11" ca="1">INDEX(INDIRECT(alliance_dq_table),(ROW()-ROW(INDIRECT(alliance_dq_cols))),MATCH(selected_dq_name_xc,INDIRECT(alliance_dq_cols),0))</f>
        <v>0.746268630027771</v>
      </c>
      <c r="O11" s="7">
        <f t="shared" ca="1" si="0"/>
        <v>21</v>
      </c>
    </row>
    <row r="12" spans="1:15" x14ac:dyDescent="0.3">
      <c r="A12" s="3" t="s">
        <v>24</v>
      </c>
      <c r="B12" s="3" t="s">
        <v>23</v>
      </c>
      <c r="C12" s="2">
        <v>637</v>
      </c>
      <c r="D12" s="2">
        <v>279</v>
      </c>
      <c r="E12" s="4">
        <v>0.40502354502677917</v>
      </c>
      <c r="F12" s="4">
        <v>0.69230771064758301</v>
      </c>
      <c r="G12" s="4">
        <v>0.59183675050735474</v>
      </c>
      <c r="H12" s="4">
        <v>0.98207885026931763</v>
      </c>
      <c r="I12" s="4">
        <v>0.95761382579803467</v>
      </c>
      <c r="J12" s="4">
        <v>0.88383042812347412</v>
      </c>
      <c r="K12" s="4">
        <v>0.98273158073425293</v>
      </c>
      <c r="L12" s="4">
        <v>0.43799057602882391</v>
      </c>
      <c r="N12" s="54" cm="1">
        <f t="array" aca="1" ref="N12" ca="1">INDEX(INDIRECT(alliance_dq_table),(ROW()-ROW(INDIRECT(alliance_dq_cols))),MATCH(selected_dq_name_xc,INDIRECT(alliance_dq_cols),0))</f>
        <v>0.98207885026931763</v>
      </c>
      <c r="O12" s="7">
        <f t="shared" ca="1" si="0"/>
        <v>4</v>
      </c>
    </row>
    <row r="13" spans="1:15" x14ac:dyDescent="0.3">
      <c r="A13" s="3" t="s">
        <v>59</v>
      </c>
      <c r="B13" s="3" t="s">
        <v>25</v>
      </c>
      <c r="C13" s="2">
        <v>380</v>
      </c>
      <c r="D13" s="2">
        <v>78</v>
      </c>
      <c r="E13" s="4">
        <v>0.44473683834075928</v>
      </c>
      <c r="F13" s="4">
        <v>0.43421053886413569</v>
      </c>
      <c r="G13" s="4">
        <v>0.30263158679008478</v>
      </c>
      <c r="H13" s="4">
        <v>0.87179487943649292</v>
      </c>
      <c r="I13" s="4">
        <v>0.90789473056793213</v>
      </c>
      <c r="J13" s="4">
        <v>0.74736839532852173</v>
      </c>
      <c r="K13" s="4">
        <v>0.94736844301223755</v>
      </c>
      <c r="L13" s="4">
        <v>0.20526315271854401</v>
      </c>
      <c r="N13" s="4" cm="1">
        <f t="array" aca="1" ref="N13" ca="1">INDEX(INDIRECT(alliance_dq_table),(ROW()-ROW(INDIRECT(alliance_dq_cols))),MATCH(selected_dq_name_xc,INDIRECT(alliance_dq_cols),0))</f>
        <v>0.87179487943649292</v>
      </c>
      <c r="O13" s="7">
        <f t="shared" ca="1" si="0"/>
        <v>14</v>
      </c>
    </row>
    <row r="14" spans="1:15" x14ac:dyDescent="0.3">
      <c r="A14" s="3" t="s">
        <v>515</v>
      </c>
      <c r="B14" s="3" t="s">
        <v>38</v>
      </c>
      <c r="C14" s="2">
        <v>431</v>
      </c>
      <c r="D14" s="2">
        <v>199</v>
      </c>
      <c r="E14" s="4">
        <v>0.66125291585922241</v>
      </c>
      <c r="F14" s="4">
        <v>0.57772624492645264</v>
      </c>
      <c r="G14" s="4">
        <v>0.51740139722824097</v>
      </c>
      <c r="H14" s="4">
        <v>0.80904525518417358</v>
      </c>
      <c r="I14" s="4">
        <v>0.95591646432876587</v>
      </c>
      <c r="J14" s="4">
        <v>0.80278420448303223</v>
      </c>
      <c r="K14" s="4">
        <v>0.97215777635574341</v>
      </c>
      <c r="L14" s="4">
        <v>0.46171694993972778</v>
      </c>
      <c r="N14" s="54" cm="1">
        <f t="array" aca="1" ref="N14" ca="1">INDEX(INDIRECT(alliance_dq_table),(ROW()-ROW(INDIRECT(alliance_dq_cols))),MATCH(selected_dq_name_xc,INDIRECT(alliance_dq_cols),0))</f>
        <v>0.80904525518417358</v>
      </c>
      <c r="O14" s="7">
        <f t="shared" ca="1" si="0"/>
        <v>17</v>
      </c>
    </row>
    <row r="15" spans="1:15" x14ac:dyDescent="0.3">
      <c r="A15" s="3" t="s">
        <v>521</v>
      </c>
      <c r="B15" s="3" t="s">
        <v>26</v>
      </c>
      <c r="C15" s="2">
        <v>573</v>
      </c>
      <c r="D15" s="2">
        <v>134</v>
      </c>
      <c r="E15" s="4">
        <v>0.56719022989273071</v>
      </c>
      <c r="F15" s="4">
        <v>0.56020945310592651</v>
      </c>
      <c r="G15" s="4">
        <v>0.28970330953598022</v>
      </c>
      <c r="H15" s="4">
        <v>0.79104477167129517</v>
      </c>
      <c r="I15" s="4">
        <v>0.96335077285766602</v>
      </c>
      <c r="J15" s="4">
        <v>0.83595114946365356</v>
      </c>
      <c r="K15" s="4">
        <v>0.94938915967941284</v>
      </c>
      <c r="L15" s="4">
        <v>0.23385688662528989</v>
      </c>
      <c r="N15" s="4" cm="1">
        <f t="array" aca="1" ref="N15" ca="1">INDEX(INDIRECT(alliance_dq_table),(ROW()-ROW(INDIRECT(alliance_dq_cols))),MATCH(selected_dq_name_xc,INDIRECT(alliance_dq_cols),0))</f>
        <v>0.79104477167129517</v>
      </c>
      <c r="O15" s="7">
        <f t="shared" ca="1" si="0"/>
        <v>18</v>
      </c>
    </row>
    <row r="16" spans="1:15" x14ac:dyDescent="0.3">
      <c r="A16" s="3" t="s">
        <v>29</v>
      </c>
      <c r="B16" s="3" t="s">
        <v>28</v>
      </c>
      <c r="C16" s="2">
        <v>253</v>
      </c>
      <c r="D16" s="2">
        <v>164</v>
      </c>
      <c r="E16" s="4">
        <v>0.58893281221389771</v>
      </c>
      <c r="F16" s="4">
        <v>0.41501975059509277</v>
      </c>
      <c r="G16" s="4">
        <v>0.60474306344985962</v>
      </c>
      <c r="H16" s="4">
        <v>0.78658539056777954</v>
      </c>
      <c r="I16" s="4">
        <v>0.98023712635040283</v>
      </c>
      <c r="J16" s="4">
        <v>0.90118575096130371</v>
      </c>
      <c r="K16" s="4">
        <v>0.94466406106948853</v>
      </c>
      <c r="L16" s="4">
        <v>0.64822137355804443</v>
      </c>
      <c r="N16" s="54" cm="1">
        <f t="array" aca="1" ref="N16" ca="1">INDEX(INDIRECT(alliance_dq_table),(ROW()-ROW(INDIRECT(alliance_dq_cols))),MATCH(selected_dq_name_xc,INDIRECT(alliance_dq_cols),0))</f>
        <v>0.78658539056777954</v>
      </c>
      <c r="O16" s="7">
        <f t="shared" ca="1" si="0"/>
        <v>19</v>
      </c>
    </row>
    <row r="17" spans="1:15" x14ac:dyDescent="0.3">
      <c r="A17" s="3" t="s">
        <v>31</v>
      </c>
      <c r="B17" s="3" t="s">
        <v>30</v>
      </c>
      <c r="C17" s="2">
        <v>398</v>
      </c>
      <c r="D17" s="2">
        <v>150</v>
      </c>
      <c r="E17" s="4">
        <v>0.28894472122192377</v>
      </c>
      <c r="F17" s="4">
        <v>0.56783920526504517</v>
      </c>
      <c r="G17" s="4">
        <v>0.35678392648696899</v>
      </c>
      <c r="H17" s="4">
        <v>0.82666665315628052</v>
      </c>
      <c r="I17" s="4">
        <v>0.9648241400718689</v>
      </c>
      <c r="J17" s="4">
        <v>0.87437188625335693</v>
      </c>
      <c r="K17" s="4">
        <v>0.98241204023361206</v>
      </c>
      <c r="L17" s="4">
        <v>0.37688443064689642</v>
      </c>
      <c r="N17" s="4" cm="1">
        <f t="array" aca="1" ref="N17" ca="1">INDEX(INDIRECT(alliance_dq_table),(ROW()-ROW(INDIRECT(alliance_dq_cols))),MATCH(selected_dq_name_xc,INDIRECT(alliance_dq_cols),0))</f>
        <v>0.82666665315628052</v>
      </c>
      <c r="O17" s="7">
        <f t="shared" ca="1" si="0"/>
        <v>15</v>
      </c>
    </row>
    <row r="18" spans="1:15" x14ac:dyDescent="0.3">
      <c r="A18" s="3" t="s">
        <v>33</v>
      </c>
      <c r="B18" s="3" t="s">
        <v>32</v>
      </c>
      <c r="C18" s="2">
        <v>539</v>
      </c>
      <c r="D18" s="2">
        <v>148</v>
      </c>
      <c r="E18" s="4">
        <v>0.66048234701156616</v>
      </c>
      <c r="F18" s="4">
        <v>0.67346936464309692</v>
      </c>
      <c r="G18" s="4">
        <v>0.38218924403190607</v>
      </c>
      <c r="H18" s="4">
        <v>0.87837839126586914</v>
      </c>
      <c r="I18" s="4">
        <v>0.92764377593994141</v>
      </c>
      <c r="J18" s="4">
        <v>0.85528755187988281</v>
      </c>
      <c r="K18" s="4">
        <v>0.91836732625961304</v>
      </c>
      <c r="L18" s="4">
        <v>0.27458256483077997</v>
      </c>
      <c r="N18" s="54" cm="1">
        <f t="array" aca="1" ref="N18" ca="1">INDEX(INDIRECT(alliance_dq_table),(ROW()-ROW(INDIRECT(alliance_dq_cols))),MATCH(selected_dq_name_xc,INDIRECT(alliance_dq_cols),0))</f>
        <v>0.87837839126586914</v>
      </c>
      <c r="O18" s="7">
        <f t="shared" ca="1" si="0"/>
        <v>13</v>
      </c>
    </row>
    <row r="19" spans="1:15" x14ac:dyDescent="0.3">
      <c r="A19" s="3" t="s">
        <v>35</v>
      </c>
      <c r="B19" s="3" t="s">
        <v>34</v>
      </c>
      <c r="C19" s="2">
        <v>339</v>
      </c>
      <c r="D19" s="2">
        <v>119</v>
      </c>
      <c r="E19" s="4">
        <v>0.50442475080490112</v>
      </c>
      <c r="F19" s="4">
        <v>0.59292036294937134</v>
      </c>
      <c r="G19" s="4">
        <v>0.65191739797592163</v>
      </c>
      <c r="H19" s="4">
        <v>0.98319327831268311</v>
      </c>
      <c r="I19" s="4">
        <v>0.96165192127227783</v>
      </c>
      <c r="J19" s="4">
        <v>0.89085543155670166</v>
      </c>
      <c r="K19" s="4">
        <v>0.94395279884338379</v>
      </c>
      <c r="L19" s="4">
        <v>0.35103243589401251</v>
      </c>
      <c r="N19" s="4" cm="1">
        <f t="array" aca="1" ref="N19" ca="1">INDEX(INDIRECT(alliance_dq_table),(ROW()-ROW(INDIRECT(alliance_dq_cols))),MATCH(selected_dq_name_xc,INDIRECT(alliance_dq_cols),0))</f>
        <v>0.98319327831268311</v>
      </c>
      <c r="O19" s="7">
        <f t="shared" ca="1" si="0"/>
        <v>2</v>
      </c>
    </row>
    <row r="20" spans="1:15" x14ac:dyDescent="0.3">
      <c r="A20" s="3" t="s">
        <v>37</v>
      </c>
      <c r="B20" s="3" t="s">
        <v>36</v>
      </c>
      <c r="C20" s="2">
        <v>551</v>
      </c>
      <c r="D20" s="2">
        <v>132</v>
      </c>
      <c r="E20" s="4">
        <v>0.71687841415405273</v>
      </c>
      <c r="F20" s="4">
        <v>0.82395642995834351</v>
      </c>
      <c r="G20" s="4">
        <v>0.43738657236099238</v>
      </c>
      <c r="H20" s="4">
        <v>0.96212118864059448</v>
      </c>
      <c r="I20" s="4">
        <v>0.93466424942016602</v>
      </c>
      <c r="J20" s="4">
        <v>0.91833031177520752</v>
      </c>
      <c r="K20" s="4">
        <v>0.93647915124893188</v>
      </c>
      <c r="L20" s="4">
        <v>0.2395644336938858</v>
      </c>
      <c r="N20" s="54" cm="1">
        <f t="array" aca="1" ref="N20" ca="1">INDEX(INDIRECT(alliance_dq_table),(ROW()-ROW(INDIRECT(alliance_dq_cols))),MATCH(selected_dq_name_xc,INDIRECT(alliance_dq_cols),0))</f>
        <v>0.96212118864059448</v>
      </c>
      <c r="O20" s="7">
        <f t="shared" ca="1" si="0"/>
        <v>7</v>
      </c>
    </row>
    <row r="21" spans="1:15" x14ac:dyDescent="0.3">
      <c r="A21" s="3" t="s">
        <v>40</v>
      </c>
      <c r="B21" s="3" t="s">
        <v>39</v>
      </c>
      <c r="C21" s="2">
        <v>950</v>
      </c>
      <c r="D21" s="2">
        <v>383</v>
      </c>
      <c r="E21" s="4">
        <v>0.62842106819152832</v>
      </c>
      <c r="F21" s="4">
        <v>0.71894735097885132</v>
      </c>
      <c r="G21" s="4">
        <v>0.48421052098274231</v>
      </c>
      <c r="H21" s="4">
        <v>0.90600520372390747</v>
      </c>
      <c r="I21" s="4">
        <v>0.97263157367706299</v>
      </c>
      <c r="J21" s="4">
        <v>0.86736840009689331</v>
      </c>
      <c r="K21" s="4">
        <v>0.98315787315368652</v>
      </c>
      <c r="L21" s="4">
        <v>0.40315788984298712</v>
      </c>
      <c r="N21" s="4" cm="1">
        <f t="array" aca="1" ref="N21" ca="1">INDEX(INDIRECT(alliance_dq_table),(ROW()-ROW(INDIRECT(alliance_dq_cols))),MATCH(selected_dq_name_xc,INDIRECT(alliance_dq_cols),0))</f>
        <v>0.90600520372390747</v>
      </c>
      <c r="O21" s="7">
        <f t="shared" ca="1" si="0"/>
        <v>10</v>
      </c>
    </row>
    <row r="22" spans="1:15" x14ac:dyDescent="0.3">
      <c r="A22" s="3" t="s">
        <v>42</v>
      </c>
      <c r="B22" s="3" t="s">
        <v>41</v>
      </c>
      <c r="C22" s="2">
        <v>426</v>
      </c>
      <c r="D22" s="2">
        <v>199</v>
      </c>
      <c r="E22" s="4">
        <v>0.6619718074798584</v>
      </c>
      <c r="F22" s="4">
        <v>0.49530515074729919</v>
      </c>
      <c r="G22" s="4">
        <v>0.92018777132034302</v>
      </c>
      <c r="H22" s="4">
        <v>0.97487437725067139</v>
      </c>
      <c r="I22" s="4">
        <v>0.95070421695709229</v>
      </c>
      <c r="J22" s="4">
        <v>0.93427228927612305</v>
      </c>
      <c r="K22" s="4">
        <v>0.98826289176940918</v>
      </c>
      <c r="L22" s="4">
        <v>0.46713614463806152</v>
      </c>
      <c r="N22" s="53" cm="1">
        <f t="array" aca="1" ref="N22" ca="1">INDEX(INDIRECT(alliance_dq_table),(ROW()-ROW(INDIRECT(alliance_dq_cols))),MATCH(selected_dq_name_xc,INDIRECT(alliance_dq_cols),0))</f>
        <v>0.97487437725067139</v>
      </c>
      <c r="O22" s="7">
        <f t="shared" ca="1" si="0"/>
        <v>6</v>
      </c>
    </row>
  </sheetData>
  <sortState xmlns:xlrd2="http://schemas.microsoft.com/office/spreadsheetml/2017/richdata2" ref="A2:O22">
    <sortCondition ref="A2:A22"/>
  </sortState>
  <conditionalFormatting sqref="N2:N22">
    <cfRule type="top10" dxfId="30" priority="3" bottom="1" rank="1"/>
    <cfRule type="top10" dxfId="29" priority="4" rank="1"/>
  </conditionalFormatting>
  <conditionalFormatting sqref="O2:O22">
    <cfRule type="top10" dxfId="28" priority="1" bottom="1" rank="1"/>
    <cfRule type="top10" dxfId="27" priority="2" rank="1"/>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A1:N4"/>
  <sheetViews>
    <sheetView workbookViewId="0">
      <selection activeCell="C1" sqref="C1"/>
    </sheetView>
  </sheetViews>
  <sheetFormatPr defaultRowHeight="14.4" x14ac:dyDescent="0.3"/>
  <cols>
    <col min="1" max="1" width="12.5546875" bestFit="1" customWidth="1"/>
    <col min="2" max="2" width="11.109375" style="48" bestFit="1" customWidth="1"/>
    <col min="3" max="3" width="11.109375" style="48" customWidth="1"/>
    <col min="4" max="4" width="10" customWidth="1"/>
    <col min="5" max="5" width="9.6640625" bestFit="1" customWidth="1"/>
    <col min="6" max="6" width="11.109375" customWidth="1"/>
    <col min="7" max="7" width="10.109375" customWidth="1"/>
    <col min="8" max="8" width="9.6640625" customWidth="1"/>
    <col min="9" max="10" width="9.6640625" bestFit="1" customWidth="1"/>
    <col min="11" max="11" width="9.6640625" customWidth="1"/>
    <col min="12" max="12" width="8.33203125" customWidth="1"/>
    <col min="13" max="13" width="19.88671875" customWidth="1"/>
    <col min="14" max="14" width="18.88671875" customWidth="1"/>
  </cols>
  <sheetData>
    <row r="1" spans="1:14" x14ac:dyDescent="0.3">
      <c r="A1" s="17" t="s">
        <v>257</v>
      </c>
      <c r="B1" s="50" t="s">
        <v>2</v>
      </c>
      <c r="C1" s="50" t="s">
        <v>308</v>
      </c>
      <c r="D1" s="17" t="s">
        <v>270</v>
      </c>
      <c r="E1" s="17" t="s">
        <v>271</v>
      </c>
      <c r="F1" s="17" t="s">
        <v>272</v>
      </c>
      <c r="G1" s="17" t="s">
        <v>307</v>
      </c>
      <c r="H1" s="17" t="s">
        <v>273</v>
      </c>
      <c r="I1" s="17" t="s">
        <v>274</v>
      </c>
      <c r="J1" s="17" t="s">
        <v>275</v>
      </c>
      <c r="K1" s="82" t="s">
        <v>437</v>
      </c>
      <c r="L1" t="s">
        <v>408</v>
      </c>
      <c r="M1" s="6" t="s">
        <v>283</v>
      </c>
      <c r="N1" s="6" t="s">
        <v>284</v>
      </c>
    </row>
    <row r="2" spans="1:14" x14ac:dyDescent="0.3">
      <c r="A2" s="17" t="s">
        <v>276</v>
      </c>
      <c r="B2" s="2">
        <v>9535</v>
      </c>
      <c r="C2" s="2">
        <v>3409</v>
      </c>
      <c r="D2" s="4">
        <v>0.53602516651153564</v>
      </c>
      <c r="E2" s="4">
        <v>0.60052436590194702</v>
      </c>
      <c r="F2" s="4">
        <v>0.46512848138809199</v>
      </c>
      <c r="G2" s="4">
        <v>0.89615720510482788</v>
      </c>
      <c r="H2" s="4">
        <v>0.95752489566802979</v>
      </c>
      <c r="I2" s="4">
        <v>0.83198744058609009</v>
      </c>
      <c r="J2" s="4">
        <v>0.96706867218017578</v>
      </c>
      <c r="K2" s="4">
        <v>0.35752490162849432</v>
      </c>
      <c r="M2" s="16" cm="1">
        <f t="array" aca="1" ref="M2" ca="1">INDEX(national_data_quality!$A$1:$K$2,(ROW()*ROW(national_data_quality!$A$1:$K$1)),MATCH(selected_dq_name_xc,national_data_quality!$A$1:$K$1,0))</f>
        <v>0.89615720510482788</v>
      </c>
      <c r="N2" s="15" t="s">
        <v>258</v>
      </c>
    </row>
    <row r="3" spans="1:14" x14ac:dyDescent="0.3">
      <c r="B3" s="158"/>
      <c r="C3" s="158"/>
      <c r="D3" s="159"/>
      <c r="E3" s="159"/>
      <c r="F3" s="159"/>
      <c r="G3" s="159"/>
      <c r="H3" s="159"/>
      <c r="I3" s="159"/>
      <c r="J3" s="159"/>
      <c r="K3" s="159"/>
    </row>
    <row r="4" spans="1:14" x14ac:dyDescent="0.3">
      <c r="A4" s="2"/>
      <c r="D4" s="2"/>
      <c r="E4" s="2"/>
      <c r="F4" s="2"/>
      <c r="J4" s="2"/>
      <c r="K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sheetPr>
  <dimension ref="A1:O123"/>
  <sheetViews>
    <sheetView workbookViewId="0">
      <selection activeCell="I24" sqref="I24"/>
    </sheetView>
  </sheetViews>
  <sheetFormatPr defaultRowHeight="14.4" x14ac:dyDescent="0.3"/>
  <cols>
    <col min="1" max="1" width="12.5546875" bestFit="1" customWidth="1"/>
    <col min="2" max="2" width="59" bestFit="1" customWidth="1"/>
    <col min="3" max="4" width="13.33203125" customWidth="1"/>
  </cols>
  <sheetData>
    <row r="1" spans="1:15" x14ac:dyDescent="0.3">
      <c r="A1" s="19" t="s">
        <v>43</v>
      </c>
      <c r="B1" s="19" t="s">
        <v>44</v>
      </c>
      <c r="C1" t="s">
        <v>467</v>
      </c>
      <c r="D1" t="s">
        <v>468</v>
      </c>
      <c r="E1" t="s">
        <v>469</v>
      </c>
      <c r="F1" t="s">
        <v>470</v>
      </c>
      <c r="G1" t="s">
        <v>471</v>
      </c>
      <c r="H1" t="s">
        <v>472</v>
      </c>
      <c r="K1" t="s">
        <v>304</v>
      </c>
      <c r="L1" t="s">
        <v>301</v>
      </c>
      <c r="M1" t="s">
        <v>302</v>
      </c>
      <c r="N1" t="s">
        <v>303</v>
      </c>
      <c r="O1" t="s">
        <v>300</v>
      </c>
    </row>
    <row r="2" spans="1:15" x14ac:dyDescent="0.3">
      <c r="A2" s="38" t="s">
        <v>45</v>
      </c>
      <c r="B2" s="38" t="s">
        <v>46</v>
      </c>
      <c r="C2" s="2">
        <v>52</v>
      </c>
      <c r="D2" s="2">
        <v>48</v>
      </c>
      <c r="E2" s="2">
        <v>16</v>
      </c>
      <c r="F2" s="2">
        <v>17</v>
      </c>
      <c r="G2" s="2">
        <v>33</v>
      </c>
      <c r="H2" s="2">
        <v>34</v>
      </c>
      <c r="I2" s="2"/>
      <c r="J2" s="2"/>
      <c r="K2" s="2">
        <v>28</v>
      </c>
      <c r="L2" s="2">
        <v>17</v>
      </c>
      <c r="M2" s="2">
        <v>17</v>
      </c>
      <c r="N2" s="2">
        <v>19</v>
      </c>
      <c r="O2" s="2">
        <v>19</v>
      </c>
    </row>
    <row r="3" spans="1:15" x14ac:dyDescent="0.3">
      <c r="A3" s="38" t="s">
        <v>47</v>
      </c>
      <c r="B3" s="38" t="s">
        <v>48</v>
      </c>
      <c r="C3" s="2">
        <v>53</v>
      </c>
      <c r="D3" s="2">
        <v>47</v>
      </c>
      <c r="E3" s="2">
        <v>14</v>
      </c>
      <c r="F3" s="2">
        <v>23</v>
      </c>
      <c r="G3" s="2">
        <v>26</v>
      </c>
      <c r="H3" s="2">
        <v>38</v>
      </c>
      <c r="I3" s="2"/>
      <c r="J3" s="2"/>
      <c r="K3" s="2">
        <v>48</v>
      </c>
      <c r="L3" s="2">
        <v>23</v>
      </c>
      <c r="M3" s="2">
        <v>11</v>
      </c>
      <c r="N3" s="2">
        <v>11</v>
      </c>
      <c r="O3" s="2">
        <v>8</v>
      </c>
    </row>
    <row r="4" spans="1:15" x14ac:dyDescent="0.3">
      <c r="A4" s="38" t="s">
        <v>49</v>
      </c>
      <c r="B4" s="38" t="s">
        <v>50</v>
      </c>
      <c r="C4" s="2">
        <v>46</v>
      </c>
      <c r="D4" s="2">
        <v>54</v>
      </c>
      <c r="E4" s="2">
        <v>13</v>
      </c>
      <c r="F4" s="2">
        <v>20</v>
      </c>
      <c r="G4" s="2">
        <v>35</v>
      </c>
      <c r="H4" s="2">
        <v>32</v>
      </c>
      <c r="I4" s="2"/>
      <c r="J4" s="2"/>
      <c r="K4" s="2">
        <v>6</v>
      </c>
      <c r="L4" s="2">
        <v>12</v>
      </c>
      <c r="M4" s="2">
        <v>23</v>
      </c>
      <c r="N4" s="2">
        <v>28</v>
      </c>
      <c r="O4" s="2">
        <v>30</v>
      </c>
    </row>
    <row r="5" spans="1:15" x14ac:dyDescent="0.3">
      <c r="A5" s="38" t="s">
        <v>51</v>
      </c>
      <c r="B5" s="38" t="s">
        <v>525</v>
      </c>
      <c r="C5" s="2">
        <v>54</v>
      </c>
      <c r="D5" s="2">
        <v>46</v>
      </c>
      <c r="E5" s="2">
        <v>5</v>
      </c>
      <c r="F5" s="2">
        <v>29</v>
      </c>
      <c r="G5" s="2">
        <v>46</v>
      </c>
      <c r="H5" s="2">
        <v>20</v>
      </c>
      <c r="I5" s="2"/>
      <c r="J5" s="2"/>
      <c r="K5" s="2">
        <v>9</v>
      </c>
      <c r="L5" s="2">
        <v>34</v>
      </c>
      <c r="M5" s="2">
        <v>32</v>
      </c>
      <c r="N5" s="2">
        <v>21</v>
      </c>
      <c r="O5" s="2">
        <v>4</v>
      </c>
    </row>
    <row r="6" spans="1:15" x14ac:dyDescent="0.3">
      <c r="A6" s="38" t="s">
        <v>52</v>
      </c>
      <c r="B6" s="38" t="s">
        <v>53</v>
      </c>
      <c r="C6" s="2">
        <v>54</v>
      </c>
      <c r="D6" s="2">
        <v>46</v>
      </c>
      <c r="E6" s="2">
        <v>23</v>
      </c>
      <c r="F6" s="2">
        <v>27</v>
      </c>
      <c r="G6" s="2">
        <v>34</v>
      </c>
      <c r="H6" s="2">
        <v>16</v>
      </c>
      <c r="I6" s="2"/>
      <c r="J6" s="2"/>
      <c r="K6" s="2">
        <v>16</v>
      </c>
      <c r="L6" s="2">
        <v>37</v>
      </c>
      <c r="M6" s="2">
        <v>22</v>
      </c>
      <c r="N6" s="2">
        <v>14</v>
      </c>
      <c r="O6" s="2">
        <v>11</v>
      </c>
    </row>
    <row r="7" spans="1:15" x14ac:dyDescent="0.3">
      <c r="A7" s="38" t="s">
        <v>54</v>
      </c>
      <c r="B7" s="38" t="s">
        <v>526</v>
      </c>
      <c r="C7" s="2">
        <v>51</v>
      </c>
      <c r="D7" s="2">
        <v>49</v>
      </c>
      <c r="E7" s="2">
        <v>17</v>
      </c>
      <c r="F7" s="2">
        <v>23</v>
      </c>
      <c r="G7" s="2">
        <v>31</v>
      </c>
      <c r="H7" s="2">
        <v>29</v>
      </c>
      <c r="I7" s="2"/>
      <c r="J7" s="2"/>
      <c r="K7" s="2">
        <v>15</v>
      </c>
      <c r="L7" s="2">
        <v>23</v>
      </c>
      <c r="M7" s="2">
        <v>30</v>
      </c>
      <c r="N7" s="2">
        <v>26</v>
      </c>
      <c r="O7" s="2">
        <v>6</v>
      </c>
    </row>
    <row r="8" spans="1:15" x14ac:dyDescent="0.3">
      <c r="A8" s="38" t="s">
        <v>55</v>
      </c>
      <c r="B8" s="38" t="s">
        <v>56</v>
      </c>
      <c r="C8" s="2">
        <v>52</v>
      </c>
      <c r="D8" s="2">
        <v>48</v>
      </c>
      <c r="E8" s="2">
        <v>15</v>
      </c>
      <c r="F8" s="2">
        <v>21</v>
      </c>
      <c r="G8" s="2">
        <v>37</v>
      </c>
      <c r="H8" s="2">
        <v>27</v>
      </c>
      <c r="I8" s="2"/>
      <c r="J8" s="2"/>
      <c r="K8" s="2">
        <v>2</v>
      </c>
      <c r="L8" s="2">
        <v>10</v>
      </c>
      <c r="M8" s="2">
        <v>20</v>
      </c>
      <c r="N8" s="2">
        <v>27</v>
      </c>
      <c r="O8" s="2">
        <v>41</v>
      </c>
    </row>
    <row r="9" spans="1:15" x14ac:dyDescent="0.3">
      <c r="A9" s="38" t="s">
        <v>57</v>
      </c>
      <c r="B9" s="38" t="s">
        <v>58</v>
      </c>
      <c r="C9" s="2">
        <v>56</v>
      </c>
      <c r="D9" s="2">
        <v>44</v>
      </c>
      <c r="E9" s="2">
        <v>19</v>
      </c>
      <c r="F9" s="2">
        <v>19</v>
      </c>
      <c r="G9" s="2">
        <v>38</v>
      </c>
      <c r="H9" s="2">
        <v>24</v>
      </c>
      <c r="I9" s="2"/>
      <c r="J9" s="2"/>
      <c r="K9" s="2">
        <v>21</v>
      </c>
      <c r="L9" s="2">
        <v>19</v>
      </c>
      <c r="M9" s="2">
        <v>13</v>
      </c>
      <c r="N9" s="2">
        <v>24</v>
      </c>
      <c r="O9" s="2">
        <v>23</v>
      </c>
    </row>
    <row r="10" spans="1:15" x14ac:dyDescent="0.3">
      <c r="A10" s="38" t="s">
        <v>60</v>
      </c>
      <c r="B10" s="38" t="s">
        <v>61</v>
      </c>
      <c r="C10" s="2">
        <v>46</v>
      </c>
      <c r="D10" s="2">
        <v>54</v>
      </c>
      <c r="E10" s="2">
        <v>10</v>
      </c>
      <c r="F10" s="2">
        <v>23</v>
      </c>
      <c r="G10" s="2">
        <v>26</v>
      </c>
      <c r="H10" s="2">
        <v>41</v>
      </c>
      <c r="I10" s="2"/>
      <c r="J10" s="2"/>
      <c r="K10" s="2">
        <v>13</v>
      </c>
      <c r="L10" s="2">
        <v>29</v>
      </c>
      <c r="M10" s="2">
        <v>25</v>
      </c>
      <c r="N10" s="2">
        <v>23</v>
      </c>
      <c r="O10" s="2">
        <v>11</v>
      </c>
    </row>
    <row r="11" spans="1:15" x14ac:dyDescent="0.3">
      <c r="A11" s="38" t="s">
        <v>62</v>
      </c>
      <c r="B11" s="38" t="s">
        <v>63</v>
      </c>
      <c r="C11" s="2">
        <v>50</v>
      </c>
      <c r="D11" s="2">
        <v>50</v>
      </c>
      <c r="E11" s="2">
        <v>23</v>
      </c>
      <c r="F11" s="2">
        <v>26</v>
      </c>
      <c r="G11" s="2">
        <v>37</v>
      </c>
      <c r="H11" s="2">
        <v>14</v>
      </c>
      <c r="I11" s="2"/>
      <c r="J11" s="2"/>
      <c r="K11" s="2">
        <v>42</v>
      </c>
      <c r="L11" s="2">
        <v>27</v>
      </c>
      <c r="M11" s="2">
        <v>18</v>
      </c>
      <c r="N11" s="2">
        <v>9</v>
      </c>
      <c r="O11" s="2">
        <v>4</v>
      </c>
    </row>
    <row r="12" spans="1:15" x14ac:dyDescent="0.3">
      <c r="A12" s="38" t="s">
        <v>64</v>
      </c>
      <c r="B12" s="38" t="s">
        <v>65</v>
      </c>
      <c r="C12" s="2">
        <v>49</v>
      </c>
      <c r="D12" s="2">
        <v>51</v>
      </c>
      <c r="E12" s="2">
        <v>17</v>
      </c>
      <c r="F12" s="2">
        <v>17</v>
      </c>
      <c r="G12" s="2">
        <v>38</v>
      </c>
      <c r="H12" s="2">
        <v>29</v>
      </c>
      <c r="I12" s="2"/>
      <c r="J12" s="2"/>
      <c r="K12" s="2">
        <v>13</v>
      </c>
      <c r="L12" s="2">
        <v>19</v>
      </c>
      <c r="M12" s="2">
        <v>17</v>
      </c>
      <c r="N12" s="2">
        <v>26</v>
      </c>
      <c r="O12" s="2">
        <v>24</v>
      </c>
    </row>
    <row r="13" spans="1:15" x14ac:dyDescent="0.3">
      <c r="A13" s="38" t="s">
        <v>66</v>
      </c>
      <c r="B13" s="38" t="s">
        <v>67</v>
      </c>
      <c r="C13" s="2">
        <v>52</v>
      </c>
      <c r="D13" s="2">
        <v>48</v>
      </c>
      <c r="E13" s="2">
        <v>19</v>
      </c>
      <c r="F13" s="2">
        <v>25</v>
      </c>
      <c r="G13" s="2">
        <v>31</v>
      </c>
      <c r="H13" s="2">
        <v>25</v>
      </c>
      <c r="I13" s="2"/>
      <c r="J13" s="2"/>
      <c r="K13" s="2">
        <v>12</v>
      </c>
      <c r="L13" s="2">
        <v>21</v>
      </c>
      <c r="M13" s="2">
        <v>27</v>
      </c>
      <c r="N13" s="2">
        <v>24</v>
      </c>
      <c r="O13" s="2">
        <v>17</v>
      </c>
    </row>
    <row r="14" spans="1:15" x14ac:dyDescent="0.3">
      <c r="A14" s="38" t="s">
        <v>68</v>
      </c>
      <c r="B14" s="38" t="s">
        <v>69</v>
      </c>
      <c r="C14" s="2">
        <v>51</v>
      </c>
      <c r="D14" s="2">
        <v>49</v>
      </c>
      <c r="E14" s="2">
        <v>13</v>
      </c>
      <c r="F14" s="2">
        <v>19</v>
      </c>
      <c r="G14" s="2">
        <v>36</v>
      </c>
      <c r="H14" s="2">
        <v>32</v>
      </c>
      <c r="I14" s="2"/>
      <c r="J14" s="2"/>
      <c r="K14" s="2">
        <v>35</v>
      </c>
      <c r="L14" s="2">
        <v>37</v>
      </c>
      <c r="M14" s="2">
        <v>11</v>
      </c>
      <c r="N14" s="2">
        <v>5</v>
      </c>
      <c r="O14" s="2">
        <v>12</v>
      </c>
    </row>
    <row r="15" spans="1:15" x14ac:dyDescent="0.3">
      <c r="A15" s="38" t="s">
        <v>70</v>
      </c>
      <c r="B15" s="38" t="s">
        <v>522</v>
      </c>
      <c r="C15" s="2">
        <v>51</v>
      </c>
      <c r="D15" s="2">
        <v>49</v>
      </c>
      <c r="E15" s="2">
        <v>13</v>
      </c>
      <c r="F15" s="2">
        <v>26</v>
      </c>
      <c r="G15" s="2">
        <v>30</v>
      </c>
      <c r="H15" s="2">
        <v>31</v>
      </c>
      <c r="I15" s="2"/>
      <c r="J15" s="2"/>
      <c r="K15" s="2">
        <v>5</v>
      </c>
      <c r="L15" s="2">
        <v>43</v>
      </c>
      <c r="M15" s="2">
        <v>15</v>
      </c>
      <c r="N15" s="2">
        <v>20</v>
      </c>
      <c r="O15" s="2">
        <v>18</v>
      </c>
    </row>
    <row r="16" spans="1:15" x14ac:dyDescent="0.3">
      <c r="A16" s="38" t="s">
        <v>71</v>
      </c>
      <c r="B16" s="38" t="s">
        <v>72</v>
      </c>
      <c r="C16" s="2">
        <v>51</v>
      </c>
      <c r="D16" s="2">
        <v>49</v>
      </c>
      <c r="E16" s="2">
        <v>13</v>
      </c>
      <c r="F16" s="2">
        <v>21</v>
      </c>
      <c r="G16" s="2">
        <v>33</v>
      </c>
      <c r="H16" s="2">
        <v>33</v>
      </c>
      <c r="I16" s="2"/>
      <c r="J16" s="2"/>
      <c r="K16" s="2">
        <v>0</v>
      </c>
      <c r="L16" s="2">
        <v>7</v>
      </c>
      <c r="M16" s="2">
        <v>10</v>
      </c>
      <c r="N16" s="2">
        <v>29</v>
      </c>
      <c r="O16" s="2">
        <v>54</v>
      </c>
    </row>
    <row r="17" spans="1:15" x14ac:dyDescent="0.3">
      <c r="A17" s="38" t="s">
        <v>73</v>
      </c>
      <c r="B17" s="38" t="s">
        <v>74</v>
      </c>
      <c r="C17" s="2">
        <v>54</v>
      </c>
      <c r="D17" s="2">
        <v>46</v>
      </c>
      <c r="E17" s="2">
        <v>11</v>
      </c>
      <c r="F17" s="2">
        <v>15</v>
      </c>
      <c r="G17" s="2">
        <v>38</v>
      </c>
      <c r="H17" s="2">
        <v>36</v>
      </c>
      <c r="I17" s="2"/>
      <c r="J17" s="2"/>
      <c r="K17" s="2">
        <v>8</v>
      </c>
      <c r="L17" s="2">
        <v>18</v>
      </c>
      <c r="M17" s="2">
        <v>26</v>
      </c>
      <c r="N17" s="2">
        <v>37</v>
      </c>
      <c r="O17" s="2">
        <v>11</v>
      </c>
    </row>
    <row r="18" spans="1:15" x14ac:dyDescent="0.3">
      <c r="A18" s="38" t="s">
        <v>75</v>
      </c>
      <c r="B18" s="38" t="s">
        <v>76</v>
      </c>
      <c r="C18" s="2">
        <v>36</v>
      </c>
      <c r="D18" s="2">
        <v>64</v>
      </c>
      <c r="E18" s="2">
        <v>7</v>
      </c>
      <c r="F18" s="2">
        <v>20</v>
      </c>
      <c r="G18" s="2">
        <v>38</v>
      </c>
      <c r="H18" s="2">
        <v>36</v>
      </c>
      <c r="I18" s="2"/>
      <c r="J18" s="2"/>
      <c r="K18" s="2">
        <v>32</v>
      </c>
      <c r="L18" s="2">
        <v>20</v>
      </c>
      <c r="M18" s="2">
        <v>13</v>
      </c>
      <c r="N18" s="2">
        <v>23</v>
      </c>
      <c r="O18" s="2">
        <v>13</v>
      </c>
    </row>
    <row r="19" spans="1:15" x14ac:dyDescent="0.3">
      <c r="A19" s="38" t="s">
        <v>77</v>
      </c>
      <c r="B19" s="38" t="s">
        <v>78</v>
      </c>
      <c r="C19" s="2">
        <v>57</v>
      </c>
      <c r="D19" s="2">
        <v>43</v>
      </c>
      <c r="E19" s="2">
        <v>13</v>
      </c>
      <c r="F19" s="2">
        <v>20</v>
      </c>
      <c r="G19" s="2">
        <v>44</v>
      </c>
      <c r="H19" s="2">
        <v>24</v>
      </c>
      <c r="I19" s="2"/>
      <c r="J19" s="2"/>
      <c r="K19" s="2">
        <v>36</v>
      </c>
      <c r="L19" s="2">
        <v>14</v>
      </c>
      <c r="M19" s="2">
        <v>13</v>
      </c>
      <c r="N19" s="2">
        <v>19</v>
      </c>
      <c r="O19" s="2">
        <v>19</v>
      </c>
    </row>
    <row r="20" spans="1:15" x14ac:dyDescent="0.3">
      <c r="A20" s="38" t="s">
        <v>79</v>
      </c>
      <c r="B20" s="38" t="s">
        <v>527</v>
      </c>
      <c r="C20" s="2">
        <v>56</v>
      </c>
      <c r="D20" s="2">
        <v>44</v>
      </c>
      <c r="E20" s="2">
        <v>11</v>
      </c>
      <c r="F20" s="2">
        <v>15</v>
      </c>
      <c r="G20" s="2">
        <v>35</v>
      </c>
      <c r="H20" s="2">
        <v>39</v>
      </c>
      <c r="I20" s="2"/>
      <c r="J20" s="2"/>
      <c r="K20" s="2">
        <v>37</v>
      </c>
      <c r="L20" s="2">
        <v>13</v>
      </c>
      <c r="M20" s="2">
        <v>25</v>
      </c>
      <c r="N20" s="2">
        <v>13</v>
      </c>
      <c r="O20" s="2">
        <v>12</v>
      </c>
    </row>
    <row r="21" spans="1:15" x14ac:dyDescent="0.3">
      <c r="A21" s="38" t="s">
        <v>80</v>
      </c>
      <c r="B21" s="38" t="s">
        <v>81</v>
      </c>
      <c r="C21" s="2">
        <v>52</v>
      </c>
      <c r="D21" s="2">
        <v>48</v>
      </c>
      <c r="E21" s="2">
        <v>9</v>
      </c>
      <c r="F21" s="2">
        <v>24</v>
      </c>
      <c r="G21" s="2">
        <v>39</v>
      </c>
      <c r="H21" s="2">
        <v>28</v>
      </c>
      <c r="I21" s="2"/>
      <c r="J21" s="2"/>
      <c r="K21" s="2">
        <v>16</v>
      </c>
      <c r="L21" s="2">
        <v>11</v>
      </c>
      <c r="M21" s="2">
        <v>17</v>
      </c>
      <c r="N21" s="2">
        <v>17</v>
      </c>
      <c r="O21" s="2">
        <v>38</v>
      </c>
    </row>
    <row r="22" spans="1:15" x14ac:dyDescent="0.3">
      <c r="A22" s="38" t="s">
        <v>82</v>
      </c>
      <c r="B22" s="38" t="s">
        <v>516</v>
      </c>
      <c r="C22" s="2">
        <v>50</v>
      </c>
      <c r="D22" s="2">
        <v>50</v>
      </c>
      <c r="E22" s="2">
        <v>23</v>
      </c>
      <c r="F22" s="2">
        <v>34</v>
      </c>
      <c r="G22" s="2">
        <v>36</v>
      </c>
      <c r="H22" s="2">
        <v>8</v>
      </c>
      <c r="I22" s="2"/>
      <c r="J22" s="2"/>
      <c r="K22" s="2">
        <v>29</v>
      </c>
      <c r="L22" s="2">
        <v>20</v>
      </c>
      <c r="M22" s="2">
        <v>14</v>
      </c>
      <c r="N22" s="2">
        <v>20</v>
      </c>
      <c r="O22" s="2">
        <v>18</v>
      </c>
    </row>
    <row r="23" spans="1:15" x14ac:dyDescent="0.3">
      <c r="A23" s="38" t="s">
        <v>83</v>
      </c>
      <c r="B23" s="38" t="s">
        <v>84</v>
      </c>
      <c r="C23" s="2">
        <v>52</v>
      </c>
      <c r="D23" s="2">
        <v>48</v>
      </c>
      <c r="E23" s="2">
        <v>15</v>
      </c>
      <c r="F23" s="2">
        <v>21</v>
      </c>
      <c r="G23" s="2">
        <v>31</v>
      </c>
      <c r="H23" s="2">
        <v>33</v>
      </c>
      <c r="I23" s="2"/>
      <c r="J23" s="2"/>
      <c r="K23" s="2">
        <v>5</v>
      </c>
      <c r="L23" s="2">
        <v>15</v>
      </c>
      <c r="M23" s="2">
        <v>21</v>
      </c>
      <c r="N23" s="2">
        <v>21</v>
      </c>
      <c r="O23" s="2">
        <v>37</v>
      </c>
    </row>
    <row r="24" spans="1:15" x14ac:dyDescent="0.3">
      <c r="A24" s="38" t="s">
        <v>85</v>
      </c>
      <c r="B24" s="38" t="s">
        <v>549</v>
      </c>
      <c r="C24" s="2">
        <v>56</v>
      </c>
      <c r="D24" s="2">
        <v>44</v>
      </c>
      <c r="E24" s="2">
        <v>11</v>
      </c>
      <c r="F24" s="2">
        <v>21</v>
      </c>
      <c r="G24" s="2">
        <v>34</v>
      </c>
      <c r="H24" s="2">
        <v>33</v>
      </c>
      <c r="I24" s="2"/>
      <c r="J24" s="2"/>
      <c r="K24" s="2">
        <v>9</v>
      </c>
      <c r="L24" s="2">
        <v>14</v>
      </c>
      <c r="M24" s="2">
        <v>19</v>
      </c>
      <c r="N24" s="2">
        <v>22</v>
      </c>
      <c r="O24" s="2">
        <v>36</v>
      </c>
    </row>
    <row r="25" spans="1:15" x14ac:dyDescent="0.3">
      <c r="A25" s="38" t="s">
        <v>86</v>
      </c>
      <c r="B25" s="38" t="s">
        <v>87</v>
      </c>
      <c r="C25" s="2">
        <v>53</v>
      </c>
      <c r="D25" s="2">
        <v>47</v>
      </c>
      <c r="E25" s="2">
        <v>17</v>
      </c>
      <c r="F25" s="2">
        <v>22</v>
      </c>
      <c r="G25" s="2">
        <v>25</v>
      </c>
      <c r="H25" s="2">
        <v>36</v>
      </c>
      <c r="I25" s="2"/>
      <c r="J25" s="2"/>
      <c r="K25" s="2">
        <v>1</v>
      </c>
      <c r="L25" s="2">
        <v>6</v>
      </c>
      <c r="M25" s="2">
        <v>16</v>
      </c>
      <c r="N25" s="2">
        <v>30</v>
      </c>
      <c r="O25" s="2">
        <v>48</v>
      </c>
    </row>
    <row r="26" spans="1:15" x14ac:dyDescent="0.3">
      <c r="A26" s="38" t="s">
        <v>88</v>
      </c>
      <c r="B26" s="38" t="s">
        <v>89</v>
      </c>
      <c r="C26" s="2">
        <v>57</v>
      </c>
      <c r="D26" s="2">
        <v>43</v>
      </c>
      <c r="E26" s="2">
        <v>13</v>
      </c>
      <c r="F26" s="2">
        <v>24</v>
      </c>
      <c r="G26" s="2">
        <v>36</v>
      </c>
      <c r="H26" s="2">
        <v>27</v>
      </c>
      <c r="I26" s="2"/>
      <c r="J26" s="2"/>
      <c r="K26" s="2">
        <v>12</v>
      </c>
      <c r="L26" s="2">
        <v>14</v>
      </c>
      <c r="M26" s="2">
        <v>21</v>
      </c>
      <c r="N26" s="2">
        <v>27</v>
      </c>
      <c r="O26" s="2">
        <v>25</v>
      </c>
    </row>
    <row r="27" spans="1:15" x14ac:dyDescent="0.3">
      <c r="A27" s="38" t="s">
        <v>90</v>
      </c>
      <c r="B27" s="38" t="s">
        <v>534</v>
      </c>
      <c r="C27" s="2">
        <v>43</v>
      </c>
      <c r="D27" s="2">
        <v>57</v>
      </c>
      <c r="E27" s="2">
        <v>8</v>
      </c>
      <c r="F27" s="2">
        <v>21</v>
      </c>
      <c r="G27" s="2">
        <v>41</v>
      </c>
      <c r="H27" s="2">
        <v>30</v>
      </c>
      <c r="I27" s="2"/>
      <c r="J27" s="2"/>
      <c r="K27" s="2">
        <v>17</v>
      </c>
      <c r="L27" s="2">
        <v>37</v>
      </c>
      <c r="M27" s="2">
        <v>40</v>
      </c>
      <c r="N27" s="2">
        <v>1</v>
      </c>
      <c r="O27" s="2">
        <v>5</v>
      </c>
    </row>
    <row r="28" spans="1:15" x14ac:dyDescent="0.3">
      <c r="A28" s="38" t="s">
        <v>91</v>
      </c>
      <c r="B28" s="38" t="s">
        <v>538</v>
      </c>
      <c r="C28" s="2">
        <v>56</v>
      </c>
      <c r="D28" s="2">
        <v>44</v>
      </c>
      <c r="E28" s="2">
        <v>14</v>
      </c>
      <c r="F28" s="2">
        <v>16</v>
      </c>
      <c r="G28" s="2">
        <v>37</v>
      </c>
      <c r="H28" s="2">
        <v>34</v>
      </c>
      <c r="I28" s="2"/>
      <c r="J28" s="2"/>
      <c r="K28" s="2">
        <v>4</v>
      </c>
      <c r="L28" s="2">
        <v>10</v>
      </c>
      <c r="M28" s="2">
        <v>29</v>
      </c>
      <c r="N28" s="2">
        <v>30</v>
      </c>
      <c r="O28" s="2">
        <v>28</v>
      </c>
    </row>
    <row r="29" spans="1:15" x14ac:dyDescent="0.3">
      <c r="A29" s="38" t="s">
        <v>92</v>
      </c>
      <c r="B29" s="38" t="s">
        <v>93</v>
      </c>
      <c r="C29" s="2">
        <v>51</v>
      </c>
      <c r="D29" s="2">
        <v>49</v>
      </c>
      <c r="E29" s="2">
        <v>18</v>
      </c>
      <c r="F29" s="2">
        <v>19</v>
      </c>
      <c r="G29" s="2">
        <v>31</v>
      </c>
      <c r="H29" s="2">
        <v>32</v>
      </c>
      <c r="I29" s="2"/>
      <c r="J29" s="2"/>
      <c r="K29" s="2">
        <v>8</v>
      </c>
      <c r="L29" s="2">
        <v>13</v>
      </c>
      <c r="M29" s="2">
        <v>17</v>
      </c>
      <c r="N29" s="2">
        <v>30</v>
      </c>
      <c r="O29" s="2">
        <v>31</v>
      </c>
    </row>
    <row r="30" spans="1:15" x14ac:dyDescent="0.3">
      <c r="A30" s="38" t="s">
        <v>94</v>
      </c>
      <c r="B30" s="38" t="s">
        <v>95</v>
      </c>
      <c r="C30" s="2">
        <v>56</v>
      </c>
      <c r="D30" s="2">
        <v>44</v>
      </c>
      <c r="E30" s="2">
        <v>14</v>
      </c>
      <c r="F30" s="2">
        <v>19</v>
      </c>
      <c r="G30" s="2">
        <v>34</v>
      </c>
      <c r="H30" s="2">
        <v>33</v>
      </c>
      <c r="I30" s="2"/>
      <c r="J30" s="2"/>
      <c r="K30" s="2">
        <v>16</v>
      </c>
      <c r="L30" s="2">
        <v>14</v>
      </c>
      <c r="M30" s="2">
        <v>28</v>
      </c>
      <c r="N30" s="2">
        <v>22</v>
      </c>
      <c r="O30" s="2">
        <v>20</v>
      </c>
    </row>
    <row r="31" spans="1:15" x14ac:dyDescent="0.3">
      <c r="A31" s="38" t="s">
        <v>96</v>
      </c>
      <c r="B31" s="38" t="s">
        <v>97</v>
      </c>
      <c r="C31" s="2">
        <v>52</v>
      </c>
      <c r="D31" s="2">
        <v>48</v>
      </c>
      <c r="E31" s="2">
        <v>19</v>
      </c>
      <c r="F31" s="2">
        <v>18</v>
      </c>
      <c r="G31" s="2">
        <v>31</v>
      </c>
      <c r="H31" s="2">
        <v>32</v>
      </c>
      <c r="I31" s="2"/>
      <c r="J31" s="2"/>
      <c r="K31" s="2">
        <v>1</v>
      </c>
      <c r="L31" s="2">
        <v>13</v>
      </c>
      <c r="M31" s="2">
        <v>14</v>
      </c>
      <c r="N31" s="2">
        <v>22</v>
      </c>
      <c r="O31" s="2">
        <v>49</v>
      </c>
    </row>
    <row r="32" spans="1:15" x14ac:dyDescent="0.3">
      <c r="A32" s="38" t="s">
        <v>98</v>
      </c>
      <c r="B32" s="38" t="s">
        <v>99</v>
      </c>
      <c r="C32" s="2">
        <v>44</v>
      </c>
      <c r="D32" s="2">
        <v>56</v>
      </c>
      <c r="E32" s="2">
        <v>11</v>
      </c>
      <c r="F32" s="2">
        <v>26</v>
      </c>
      <c r="G32" s="2">
        <v>33</v>
      </c>
      <c r="H32" s="2">
        <v>31</v>
      </c>
      <c r="I32" s="2"/>
      <c r="J32" s="2"/>
      <c r="K32" s="2">
        <v>13</v>
      </c>
      <c r="L32" s="2">
        <v>38</v>
      </c>
      <c r="M32" s="2">
        <v>33</v>
      </c>
      <c r="N32" s="2">
        <v>14</v>
      </c>
      <c r="O32" s="2">
        <v>2</v>
      </c>
    </row>
    <row r="33" spans="1:15" x14ac:dyDescent="0.3">
      <c r="A33" s="38" t="s">
        <v>100</v>
      </c>
      <c r="B33" s="38" t="s">
        <v>101</v>
      </c>
      <c r="C33" s="2">
        <v>50</v>
      </c>
      <c r="D33" s="2">
        <v>50</v>
      </c>
      <c r="E33" s="2">
        <v>16</v>
      </c>
      <c r="F33" s="2">
        <v>21</v>
      </c>
      <c r="G33" s="2">
        <v>33</v>
      </c>
      <c r="H33" s="2">
        <v>30</v>
      </c>
      <c r="I33" s="2"/>
      <c r="J33" s="2"/>
      <c r="K33" s="2">
        <v>49</v>
      </c>
      <c r="L33" s="2">
        <v>15</v>
      </c>
      <c r="M33" s="2">
        <v>14</v>
      </c>
      <c r="N33" s="2">
        <v>14</v>
      </c>
      <c r="O33" s="2">
        <v>8</v>
      </c>
    </row>
    <row r="34" spans="1:15" x14ac:dyDescent="0.3">
      <c r="A34" s="38" t="s">
        <v>102</v>
      </c>
      <c r="B34" s="38" t="s">
        <v>517</v>
      </c>
      <c r="C34" s="2">
        <v>46</v>
      </c>
      <c r="D34" s="2">
        <v>54</v>
      </c>
      <c r="E34" s="2">
        <v>21</v>
      </c>
      <c r="F34" s="2">
        <v>29</v>
      </c>
      <c r="G34" s="2">
        <v>39</v>
      </c>
      <c r="H34" s="2">
        <v>11</v>
      </c>
      <c r="I34" s="2"/>
      <c r="J34" s="2"/>
      <c r="K34" s="2">
        <v>37</v>
      </c>
      <c r="L34" s="2">
        <v>12</v>
      </c>
      <c r="M34" s="2">
        <v>19</v>
      </c>
      <c r="N34" s="2">
        <v>16</v>
      </c>
      <c r="O34" s="2">
        <v>16</v>
      </c>
    </row>
    <row r="35" spans="1:15" x14ac:dyDescent="0.3">
      <c r="A35" s="38" t="s">
        <v>103</v>
      </c>
      <c r="B35" s="38" t="s">
        <v>104</v>
      </c>
      <c r="C35" s="2">
        <v>51</v>
      </c>
      <c r="D35" s="2">
        <v>49</v>
      </c>
      <c r="E35" s="2">
        <v>14</v>
      </c>
      <c r="F35" s="2">
        <v>19</v>
      </c>
      <c r="G35" s="2">
        <v>37</v>
      </c>
      <c r="H35" s="2">
        <v>31</v>
      </c>
      <c r="I35" s="2"/>
      <c r="J35" s="2"/>
      <c r="K35" s="2">
        <v>14</v>
      </c>
      <c r="L35" s="2">
        <v>26</v>
      </c>
      <c r="M35" s="2">
        <v>27</v>
      </c>
      <c r="N35" s="2">
        <v>21</v>
      </c>
      <c r="O35" s="2">
        <v>12</v>
      </c>
    </row>
    <row r="36" spans="1:15" x14ac:dyDescent="0.3">
      <c r="A36" s="38" t="s">
        <v>105</v>
      </c>
      <c r="B36" s="38" t="s">
        <v>106</v>
      </c>
      <c r="C36" s="2">
        <v>53</v>
      </c>
      <c r="D36" s="2">
        <v>47</v>
      </c>
      <c r="E36" s="2">
        <v>12</v>
      </c>
      <c r="F36" s="2">
        <v>22</v>
      </c>
      <c r="G36" s="2">
        <v>31</v>
      </c>
      <c r="H36" s="2">
        <v>36</v>
      </c>
      <c r="I36" s="2"/>
      <c r="J36" s="2"/>
      <c r="K36" s="2">
        <v>35</v>
      </c>
      <c r="L36" s="2">
        <v>24</v>
      </c>
      <c r="M36" s="2">
        <v>20</v>
      </c>
      <c r="N36" s="2">
        <v>14</v>
      </c>
      <c r="O36" s="2">
        <v>8</v>
      </c>
    </row>
    <row r="37" spans="1:15" x14ac:dyDescent="0.3">
      <c r="A37" s="38" t="s">
        <v>107</v>
      </c>
      <c r="B37" s="38" t="s">
        <v>535</v>
      </c>
      <c r="C37" s="2">
        <v>45</v>
      </c>
      <c r="D37" s="2">
        <v>55</v>
      </c>
      <c r="E37" s="2">
        <v>6</v>
      </c>
      <c r="F37" s="2">
        <v>22</v>
      </c>
      <c r="G37" s="2">
        <v>35</v>
      </c>
      <c r="H37" s="2">
        <v>38</v>
      </c>
      <c r="I37" s="2"/>
      <c r="J37" s="2"/>
      <c r="K37" s="2">
        <v>32</v>
      </c>
      <c r="L37" s="2">
        <v>22</v>
      </c>
      <c r="M37" s="2">
        <v>20</v>
      </c>
      <c r="N37" s="2">
        <v>19</v>
      </c>
      <c r="O37" s="2">
        <v>7</v>
      </c>
    </row>
    <row r="38" spans="1:15" x14ac:dyDescent="0.3">
      <c r="A38" s="38" t="s">
        <v>108</v>
      </c>
      <c r="B38" s="38" t="s">
        <v>109</v>
      </c>
      <c r="C38" s="2">
        <v>56</v>
      </c>
      <c r="D38" s="2">
        <v>44</v>
      </c>
      <c r="E38" s="2">
        <v>11</v>
      </c>
      <c r="F38" s="2">
        <v>21</v>
      </c>
      <c r="G38" s="2">
        <v>36</v>
      </c>
      <c r="H38" s="2">
        <v>32</v>
      </c>
      <c r="I38" s="2"/>
      <c r="J38" s="2"/>
      <c r="K38" s="2">
        <v>14</v>
      </c>
      <c r="L38" s="2">
        <v>32</v>
      </c>
      <c r="M38" s="2">
        <v>16</v>
      </c>
      <c r="N38" s="2">
        <v>15</v>
      </c>
      <c r="O38" s="2">
        <v>23</v>
      </c>
    </row>
    <row r="39" spans="1:15" x14ac:dyDescent="0.3">
      <c r="A39" s="38" t="s">
        <v>110</v>
      </c>
      <c r="B39" s="38" t="s">
        <v>111</v>
      </c>
      <c r="C39" s="2">
        <v>45</v>
      </c>
      <c r="D39" s="2">
        <v>55</v>
      </c>
      <c r="E39" s="2">
        <v>12</v>
      </c>
      <c r="F39" s="2">
        <v>18</v>
      </c>
      <c r="G39" s="2">
        <v>38</v>
      </c>
      <c r="H39" s="2">
        <v>33</v>
      </c>
      <c r="I39" s="2"/>
      <c r="J39" s="2"/>
      <c r="K39" s="2">
        <v>10</v>
      </c>
      <c r="L39" s="2">
        <v>12</v>
      </c>
      <c r="M39" s="2">
        <v>28</v>
      </c>
      <c r="N39" s="2">
        <v>21</v>
      </c>
      <c r="O39" s="2">
        <v>29</v>
      </c>
    </row>
    <row r="40" spans="1:15" x14ac:dyDescent="0.3">
      <c r="A40" s="38" t="s">
        <v>112</v>
      </c>
      <c r="B40" s="38" t="s">
        <v>113</v>
      </c>
      <c r="C40" s="2">
        <v>53</v>
      </c>
      <c r="D40" s="2">
        <v>47</v>
      </c>
      <c r="E40" s="2">
        <v>9</v>
      </c>
      <c r="F40" s="2">
        <v>23</v>
      </c>
      <c r="G40" s="2">
        <v>43</v>
      </c>
      <c r="H40" s="2">
        <v>24</v>
      </c>
      <c r="I40" s="2"/>
      <c r="J40" s="2"/>
      <c r="K40" s="2">
        <v>18</v>
      </c>
      <c r="L40" s="2">
        <v>28</v>
      </c>
      <c r="M40" s="2">
        <v>40</v>
      </c>
      <c r="N40" s="2">
        <v>8</v>
      </c>
      <c r="O40" s="2">
        <v>5</v>
      </c>
    </row>
    <row r="41" spans="1:15" x14ac:dyDescent="0.3">
      <c r="A41" s="38" t="s">
        <v>114</v>
      </c>
      <c r="B41" s="38" t="s">
        <v>115</v>
      </c>
      <c r="C41" s="2">
        <v>43</v>
      </c>
      <c r="D41" s="2">
        <v>57</v>
      </c>
      <c r="E41" s="2">
        <v>12</v>
      </c>
      <c r="F41" s="2">
        <v>18</v>
      </c>
      <c r="G41" s="2">
        <v>31</v>
      </c>
      <c r="H41" s="2">
        <v>39</v>
      </c>
      <c r="I41" s="2"/>
      <c r="J41" s="2"/>
      <c r="K41" s="2">
        <v>2</v>
      </c>
      <c r="L41" s="2">
        <v>16</v>
      </c>
      <c r="M41" s="2">
        <v>33</v>
      </c>
      <c r="N41" s="2">
        <v>30</v>
      </c>
      <c r="O41" s="2">
        <v>18</v>
      </c>
    </row>
    <row r="42" spans="1:15" x14ac:dyDescent="0.3">
      <c r="A42" s="38" t="s">
        <v>116</v>
      </c>
      <c r="B42" s="38" t="s">
        <v>117</v>
      </c>
      <c r="C42" s="2">
        <v>53</v>
      </c>
      <c r="D42" s="2">
        <v>47</v>
      </c>
      <c r="E42" s="2">
        <v>21</v>
      </c>
      <c r="F42" s="2">
        <v>28</v>
      </c>
      <c r="G42" s="2">
        <v>34</v>
      </c>
      <c r="H42" s="2">
        <v>17</v>
      </c>
      <c r="I42" s="2"/>
      <c r="J42" s="2"/>
      <c r="K42" s="2">
        <v>4</v>
      </c>
      <c r="L42" s="2">
        <v>8</v>
      </c>
      <c r="M42" s="2">
        <v>27</v>
      </c>
      <c r="N42" s="2">
        <v>30</v>
      </c>
      <c r="O42" s="2">
        <v>31</v>
      </c>
    </row>
    <row r="43" spans="1:15" x14ac:dyDescent="0.3">
      <c r="A43" s="38" t="s">
        <v>118</v>
      </c>
      <c r="B43" s="38" t="s">
        <v>119</v>
      </c>
      <c r="C43" s="2">
        <v>51</v>
      </c>
      <c r="D43" s="2">
        <v>49</v>
      </c>
      <c r="E43" s="2">
        <v>10</v>
      </c>
      <c r="F43" s="2">
        <v>19</v>
      </c>
      <c r="G43" s="2">
        <v>42</v>
      </c>
      <c r="H43" s="2">
        <v>29</v>
      </c>
      <c r="I43" s="2"/>
      <c r="J43" s="2"/>
      <c r="K43" s="2">
        <v>6</v>
      </c>
      <c r="L43" s="2">
        <v>25</v>
      </c>
      <c r="M43" s="2">
        <v>37</v>
      </c>
      <c r="N43" s="2">
        <v>19</v>
      </c>
      <c r="O43" s="2">
        <v>13</v>
      </c>
    </row>
    <row r="44" spans="1:15" x14ac:dyDescent="0.3">
      <c r="A44" s="38" t="s">
        <v>120</v>
      </c>
      <c r="B44" s="38" t="s">
        <v>536</v>
      </c>
      <c r="C44" s="2">
        <v>56</v>
      </c>
      <c r="D44" s="2">
        <v>44</v>
      </c>
      <c r="E44" s="2">
        <v>11</v>
      </c>
      <c r="F44" s="2">
        <v>21</v>
      </c>
      <c r="G44" s="2">
        <v>34</v>
      </c>
      <c r="H44" s="2">
        <v>33</v>
      </c>
      <c r="I44" s="2"/>
      <c r="J44" s="2"/>
      <c r="K44" s="2">
        <v>6</v>
      </c>
      <c r="L44" s="2">
        <v>21</v>
      </c>
      <c r="M44" s="2">
        <v>34</v>
      </c>
      <c r="N44" s="2">
        <v>25</v>
      </c>
      <c r="O44" s="2">
        <v>14</v>
      </c>
    </row>
    <row r="45" spans="1:15" x14ac:dyDescent="0.3">
      <c r="A45" s="38" t="s">
        <v>121</v>
      </c>
      <c r="B45" s="38" t="s">
        <v>122</v>
      </c>
      <c r="C45" s="2">
        <v>55</v>
      </c>
      <c r="D45" s="2">
        <v>45</v>
      </c>
      <c r="E45" s="2">
        <v>18</v>
      </c>
      <c r="F45" s="2">
        <v>21</v>
      </c>
      <c r="G45" s="2">
        <v>33</v>
      </c>
      <c r="H45" s="2">
        <v>28</v>
      </c>
      <c r="I45" s="2"/>
      <c r="J45" s="2"/>
      <c r="K45" s="2">
        <v>7</v>
      </c>
      <c r="L45" s="2">
        <v>21</v>
      </c>
      <c r="M45" s="2">
        <v>20</v>
      </c>
      <c r="N45" s="2">
        <v>24</v>
      </c>
      <c r="O45" s="2">
        <v>28</v>
      </c>
    </row>
    <row r="46" spans="1:15" x14ac:dyDescent="0.3">
      <c r="A46" s="38" t="s">
        <v>123</v>
      </c>
      <c r="B46" s="38" t="s">
        <v>124</v>
      </c>
      <c r="C46" s="2">
        <v>52</v>
      </c>
      <c r="D46" s="2">
        <v>48</v>
      </c>
      <c r="E46" s="2">
        <v>19</v>
      </c>
      <c r="F46" s="2">
        <v>23</v>
      </c>
      <c r="G46" s="2">
        <v>35</v>
      </c>
      <c r="H46" s="2">
        <v>23</v>
      </c>
      <c r="I46" s="2"/>
      <c r="J46" s="2"/>
      <c r="K46" s="2">
        <v>26</v>
      </c>
      <c r="L46" s="2">
        <v>18</v>
      </c>
      <c r="M46" s="2">
        <v>20</v>
      </c>
      <c r="N46" s="2">
        <v>20</v>
      </c>
      <c r="O46" s="2">
        <v>16</v>
      </c>
    </row>
    <row r="47" spans="1:15" x14ac:dyDescent="0.3">
      <c r="A47" s="38" t="s">
        <v>125</v>
      </c>
      <c r="B47" s="38" t="s">
        <v>532</v>
      </c>
      <c r="C47" s="2">
        <v>53</v>
      </c>
      <c r="D47" s="2">
        <v>47</v>
      </c>
      <c r="E47" s="2">
        <v>12</v>
      </c>
      <c r="F47" s="2">
        <v>24</v>
      </c>
      <c r="G47" s="2">
        <v>34</v>
      </c>
      <c r="H47" s="2">
        <v>31</v>
      </c>
      <c r="I47" s="2"/>
      <c r="J47" s="2"/>
      <c r="K47" s="2">
        <v>13</v>
      </c>
      <c r="L47" s="2">
        <v>20</v>
      </c>
      <c r="M47" s="2">
        <v>19</v>
      </c>
      <c r="N47" s="2">
        <v>18</v>
      </c>
      <c r="O47" s="2">
        <v>30</v>
      </c>
    </row>
    <row r="48" spans="1:15" x14ac:dyDescent="0.3">
      <c r="A48" s="38" t="s">
        <v>126</v>
      </c>
      <c r="B48" s="38" t="s">
        <v>127</v>
      </c>
      <c r="C48" s="2">
        <v>46</v>
      </c>
      <c r="D48" s="2">
        <v>54</v>
      </c>
      <c r="E48" s="2">
        <v>13</v>
      </c>
      <c r="F48" s="2">
        <v>18</v>
      </c>
      <c r="G48" s="2">
        <v>34</v>
      </c>
      <c r="H48" s="2">
        <v>36</v>
      </c>
      <c r="I48" s="2"/>
      <c r="J48" s="2"/>
      <c r="K48" s="2">
        <v>4</v>
      </c>
      <c r="L48" s="2">
        <v>14</v>
      </c>
      <c r="M48" s="2">
        <v>10</v>
      </c>
      <c r="N48" s="2">
        <v>18</v>
      </c>
      <c r="O48" s="2">
        <v>55</v>
      </c>
    </row>
    <row r="49" spans="1:15" x14ac:dyDescent="0.3">
      <c r="A49" s="38" t="s">
        <v>128</v>
      </c>
      <c r="B49" s="38" t="s">
        <v>129</v>
      </c>
      <c r="C49" s="2">
        <v>49</v>
      </c>
      <c r="D49" s="2">
        <v>51</v>
      </c>
      <c r="E49" s="2">
        <v>19</v>
      </c>
      <c r="F49" s="2">
        <v>31</v>
      </c>
      <c r="G49" s="2">
        <v>30</v>
      </c>
      <c r="H49" s="2">
        <v>20</v>
      </c>
      <c r="I49" s="2"/>
      <c r="J49" s="2"/>
      <c r="K49" s="2">
        <v>20</v>
      </c>
      <c r="L49" s="2">
        <v>52</v>
      </c>
      <c r="M49" s="2">
        <v>11</v>
      </c>
      <c r="N49" s="2">
        <v>7</v>
      </c>
      <c r="O49" s="2">
        <v>9</v>
      </c>
    </row>
    <row r="50" spans="1:15" x14ac:dyDescent="0.3">
      <c r="A50" s="38" t="s">
        <v>130</v>
      </c>
      <c r="B50" s="38" t="s">
        <v>131</v>
      </c>
      <c r="C50" s="2">
        <v>56</v>
      </c>
      <c r="D50" s="2">
        <v>44</v>
      </c>
      <c r="E50" s="2">
        <v>20</v>
      </c>
      <c r="F50" s="2">
        <v>23</v>
      </c>
      <c r="G50" s="2">
        <v>34</v>
      </c>
      <c r="H50" s="2">
        <v>22</v>
      </c>
      <c r="I50" s="2"/>
      <c r="J50" s="2"/>
      <c r="K50" s="2">
        <v>20</v>
      </c>
      <c r="L50" s="2">
        <v>27</v>
      </c>
      <c r="M50" s="2">
        <v>20</v>
      </c>
      <c r="N50" s="2">
        <v>23</v>
      </c>
      <c r="O50" s="2">
        <v>9</v>
      </c>
    </row>
    <row r="51" spans="1:15" x14ac:dyDescent="0.3">
      <c r="A51" s="38" t="s">
        <v>132</v>
      </c>
      <c r="B51" s="38" t="s">
        <v>133</v>
      </c>
      <c r="C51" s="2">
        <v>53</v>
      </c>
      <c r="D51" s="2">
        <v>47</v>
      </c>
      <c r="E51" s="2">
        <v>14</v>
      </c>
      <c r="F51" s="2">
        <v>20</v>
      </c>
      <c r="G51" s="2">
        <v>39</v>
      </c>
      <c r="H51" s="2">
        <v>27</v>
      </c>
      <c r="I51" s="2"/>
      <c r="J51" s="2"/>
      <c r="K51" s="2">
        <v>18</v>
      </c>
      <c r="L51" s="2">
        <v>18</v>
      </c>
      <c r="M51" s="2">
        <v>24</v>
      </c>
      <c r="N51" s="2">
        <v>18</v>
      </c>
      <c r="O51" s="2">
        <v>24</v>
      </c>
    </row>
    <row r="52" spans="1:15" x14ac:dyDescent="0.3">
      <c r="A52" s="38" t="s">
        <v>134</v>
      </c>
      <c r="B52" s="38" t="s">
        <v>135</v>
      </c>
      <c r="C52" s="2">
        <v>51</v>
      </c>
      <c r="D52" s="2">
        <v>49</v>
      </c>
      <c r="E52" s="2">
        <v>20</v>
      </c>
      <c r="F52" s="2">
        <v>24</v>
      </c>
      <c r="G52" s="2">
        <v>37</v>
      </c>
      <c r="H52" s="2">
        <v>18</v>
      </c>
      <c r="I52" s="2"/>
      <c r="J52" s="2"/>
      <c r="K52" s="2">
        <v>5</v>
      </c>
      <c r="L52" s="2">
        <v>12</v>
      </c>
      <c r="M52" s="2">
        <v>37</v>
      </c>
      <c r="N52" s="2">
        <v>28</v>
      </c>
      <c r="O52" s="2">
        <v>18</v>
      </c>
    </row>
    <row r="53" spans="1:15" x14ac:dyDescent="0.3">
      <c r="A53" s="38" t="s">
        <v>136</v>
      </c>
      <c r="B53" s="38" t="s">
        <v>540</v>
      </c>
      <c r="C53" s="2">
        <v>55</v>
      </c>
      <c r="D53" s="2">
        <v>45</v>
      </c>
      <c r="E53" s="2">
        <v>11</v>
      </c>
      <c r="F53" s="2">
        <v>22</v>
      </c>
      <c r="G53" s="2">
        <v>34</v>
      </c>
      <c r="H53" s="2">
        <v>33</v>
      </c>
      <c r="I53" s="2"/>
      <c r="J53" s="2"/>
      <c r="K53" s="2">
        <v>0</v>
      </c>
      <c r="L53" s="2">
        <v>11</v>
      </c>
      <c r="M53" s="2">
        <v>23</v>
      </c>
      <c r="N53" s="2">
        <v>34</v>
      </c>
      <c r="O53" s="2">
        <v>32</v>
      </c>
    </row>
    <row r="54" spans="1:15" x14ac:dyDescent="0.3">
      <c r="A54" s="38" t="s">
        <v>137</v>
      </c>
      <c r="B54" s="38" t="s">
        <v>544</v>
      </c>
      <c r="C54" s="2">
        <v>48</v>
      </c>
      <c r="D54" s="2">
        <v>52</v>
      </c>
      <c r="E54" s="2">
        <v>15</v>
      </c>
      <c r="F54" s="2">
        <v>24</v>
      </c>
      <c r="G54" s="2">
        <v>34</v>
      </c>
      <c r="H54" s="2">
        <v>28</v>
      </c>
      <c r="I54" s="2"/>
      <c r="J54" s="2"/>
      <c r="K54" s="2">
        <v>20</v>
      </c>
      <c r="L54" s="2">
        <v>20</v>
      </c>
      <c r="M54" s="2">
        <v>18</v>
      </c>
      <c r="N54" s="2">
        <v>24</v>
      </c>
      <c r="O54" s="2">
        <v>19</v>
      </c>
    </row>
    <row r="55" spans="1:15" x14ac:dyDescent="0.3">
      <c r="A55" s="38" t="s">
        <v>138</v>
      </c>
      <c r="B55" s="38" t="s">
        <v>139</v>
      </c>
      <c r="C55" s="2">
        <v>56</v>
      </c>
      <c r="D55" s="2">
        <v>44</v>
      </c>
      <c r="E55" s="2">
        <v>11</v>
      </c>
      <c r="F55" s="2">
        <v>27</v>
      </c>
      <c r="G55" s="2">
        <v>35</v>
      </c>
      <c r="H55" s="2">
        <v>27</v>
      </c>
      <c r="I55" s="2"/>
      <c r="J55" s="2"/>
      <c r="K55" s="2">
        <v>18</v>
      </c>
      <c r="L55" s="2">
        <v>24</v>
      </c>
      <c r="M55" s="2">
        <v>23</v>
      </c>
      <c r="N55" s="2">
        <v>20</v>
      </c>
      <c r="O55" s="2">
        <v>15</v>
      </c>
    </row>
    <row r="56" spans="1:15" x14ac:dyDescent="0.3">
      <c r="A56" s="38" t="s">
        <v>140</v>
      </c>
      <c r="B56" s="38" t="s">
        <v>141</v>
      </c>
      <c r="C56" s="2">
        <v>47</v>
      </c>
      <c r="D56" s="2">
        <v>53</v>
      </c>
      <c r="E56" s="2">
        <v>6</v>
      </c>
      <c r="F56" s="2">
        <v>12</v>
      </c>
      <c r="G56" s="2">
        <v>41</v>
      </c>
      <c r="H56" s="2">
        <v>41</v>
      </c>
      <c r="I56" s="2"/>
      <c r="J56" s="2"/>
      <c r="K56" s="2">
        <v>0</v>
      </c>
      <c r="L56" s="2">
        <v>20</v>
      </c>
      <c r="M56" s="2">
        <v>6</v>
      </c>
      <c r="N56" s="2">
        <v>27</v>
      </c>
      <c r="O56" s="2">
        <v>47</v>
      </c>
    </row>
    <row r="57" spans="1:15" x14ac:dyDescent="0.3">
      <c r="A57" s="38" t="s">
        <v>142</v>
      </c>
      <c r="B57" s="38" t="s">
        <v>518</v>
      </c>
      <c r="C57" s="2">
        <v>60</v>
      </c>
      <c r="D57" s="2">
        <v>40</v>
      </c>
      <c r="E57" s="2">
        <v>13</v>
      </c>
      <c r="F57" s="2">
        <v>13</v>
      </c>
      <c r="G57" s="2">
        <v>34</v>
      </c>
      <c r="H57" s="2">
        <v>40</v>
      </c>
      <c r="I57" s="2"/>
      <c r="J57" s="2"/>
      <c r="K57" s="2">
        <v>21</v>
      </c>
      <c r="L57" s="2">
        <v>21</v>
      </c>
      <c r="M57" s="2">
        <v>13</v>
      </c>
      <c r="N57" s="2">
        <v>17</v>
      </c>
      <c r="O57" s="2">
        <v>28</v>
      </c>
    </row>
    <row r="58" spans="1:15" x14ac:dyDescent="0.3">
      <c r="A58" s="38" t="s">
        <v>143</v>
      </c>
      <c r="B58" s="38" t="s">
        <v>144</v>
      </c>
      <c r="C58" s="2">
        <v>52</v>
      </c>
      <c r="D58" s="2">
        <v>48</v>
      </c>
      <c r="E58" s="2">
        <v>21</v>
      </c>
      <c r="F58" s="2">
        <v>29</v>
      </c>
      <c r="G58" s="2">
        <v>30</v>
      </c>
      <c r="H58" s="2">
        <v>20</v>
      </c>
      <c r="I58" s="2"/>
      <c r="J58" s="2"/>
      <c r="K58" s="2">
        <v>13</v>
      </c>
      <c r="L58" s="2">
        <v>22</v>
      </c>
      <c r="M58" s="2">
        <v>21</v>
      </c>
      <c r="N58" s="2">
        <v>21</v>
      </c>
      <c r="O58" s="2">
        <v>23</v>
      </c>
    </row>
    <row r="59" spans="1:15" x14ac:dyDescent="0.3">
      <c r="A59" s="38" t="s">
        <v>145</v>
      </c>
      <c r="B59" s="38" t="s">
        <v>146</v>
      </c>
      <c r="C59" s="2">
        <v>46</v>
      </c>
      <c r="D59" s="2">
        <v>54</v>
      </c>
      <c r="E59" s="2">
        <v>12</v>
      </c>
      <c r="F59" s="2">
        <v>22</v>
      </c>
      <c r="G59" s="2">
        <v>37</v>
      </c>
      <c r="H59" s="2">
        <v>29</v>
      </c>
      <c r="I59" s="2"/>
      <c r="J59" s="2"/>
      <c r="K59" s="2">
        <v>18</v>
      </c>
      <c r="L59" s="2">
        <v>25</v>
      </c>
      <c r="M59" s="2">
        <v>23</v>
      </c>
      <c r="N59" s="2">
        <v>23</v>
      </c>
      <c r="O59" s="2">
        <v>11</v>
      </c>
    </row>
    <row r="60" spans="1:15" x14ac:dyDescent="0.3">
      <c r="A60" s="38" t="s">
        <v>147</v>
      </c>
      <c r="B60" s="38" t="s">
        <v>545</v>
      </c>
      <c r="C60" s="2">
        <v>55</v>
      </c>
      <c r="D60" s="2">
        <v>45</v>
      </c>
      <c r="E60" s="2">
        <v>12</v>
      </c>
      <c r="F60" s="2">
        <v>25</v>
      </c>
      <c r="G60" s="2">
        <v>35</v>
      </c>
      <c r="H60" s="2">
        <v>28</v>
      </c>
      <c r="I60" s="2"/>
      <c r="J60" s="2"/>
      <c r="K60" s="2">
        <v>15</v>
      </c>
      <c r="L60" s="2">
        <v>29</v>
      </c>
      <c r="M60" s="2">
        <v>26</v>
      </c>
      <c r="N60" s="2">
        <v>19</v>
      </c>
      <c r="O60" s="2">
        <v>12</v>
      </c>
    </row>
    <row r="61" spans="1:15" x14ac:dyDescent="0.3">
      <c r="A61" s="38" t="s">
        <v>148</v>
      </c>
      <c r="B61" s="38" t="s">
        <v>149</v>
      </c>
      <c r="C61" s="2">
        <v>52</v>
      </c>
      <c r="D61" s="2">
        <v>48</v>
      </c>
      <c r="E61" s="2">
        <v>21</v>
      </c>
      <c r="F61" s="2">
        <v>28</v>
      </c>
      <c r="G61" s="2">
        <v>30</v>
      </c>
      <c r="H61" s="2">
        <v>21</v>
      </c>
      <c r="I61" s="2"/>
      <c r="J61" s="2"/>
      <c r="K61" s="2">
        <v>19</v>
      </c>
      <c r="L61" s="2">
        <v>23</v>
      </c>
      <c r="M61" s="2">
        <v>18</v>
      </c>
      <c r="N61" s="2">
        <v>26</v>
      </c>
      <c r="O61" s="2">
        <v>13</v>
      </c>
    </row>
    <row r="62" spans="1:15" x14ac:dyDescent="0.3">
      <c r="A62" s="38" t="s">
        <v>150</v>
      </c>
      <c r="B62" s="38" t="s">
        <v>548</v>
      </c>
      <c r="C62" s="2">
        <v>46</v>
      </c>
      <c r="D62" s="2">
        <v>54</v>
      </c>
      <c r="E62" s="2">
        <v>16</v>
      </c>
      <c r="F62" s="2">
        <v>24</v>
      </c>
      <c r="G62" s="2">
        <v>32</v>
      </c>
      <c r="H62" s="2">
        <v>27</v>
      </c>
      <c r="I62" s="2"/>
      <c r="J62" s="2"/>
      <c r="K62" s="2">
        <v>14</v>
      </c>
      <c r="L62" s="2">
        <v>41</v>
      </c>
      <c r="M62" s="2">
        <v>16</v>
      </c>
      <c r="N62" s="2">
        <v>22</v>
      </c>
      <c r="O62" s="2">
        <v>8</v>
      </c>
    </row>
    <row r="63" spans="1:15" x14ac:dyDescent="0.3">
      <c r="A63" s="38" t="s">
        <v>151</v>
      </c>
      <c r="B63" s="38" t="s">
        <v>539</v>
      </c>
      <c r="C63" s="2">
        <v>51</v>
      </c>
      <c r="D63" s="2">
        <v>49</v>
      </c>
      <c r="E63" s="2">
        <v>12</v>
      </c>
      <c r="F63" s="2">
        <v>25</v>
      </c>
      <c r="G63" s="2">
        <v>35</v>
      </c>
      <c r="H63" s="2">
        <v>27</v>
      </c>
      <c r="I63" s="2"/>
      <c r="J63" s="2"/>
      <c r="K63" s="2">
        <v>33</v>
      </c>
      <c r="L63" s="2">
        <v>20</v>
      </c>
      <c r="M63" s="2">
        <v>15</v>
      </c>
      <c r="N63" s="2">
        <v>17</v>
      </c>
      <c r="O63" s="2">
        <v>15</v>
      </c>
    </row>
    <row r="64" spans="1:15" x14ac:dyDescent="0.3">
      <c r="A64" s="38" t="s">
        <v>152</v>
      </c>
      <c r="B64" s="38" t="s">
        <v>153</v>
      </c>
      <c r="C64" s="2">
        <v>51</v>
      </c>
      <c r="D64" s="2">
        <v>49</v>
      </c>
      <c r="E64" s="2">
        <v>12</v>
      </c>
      <c r="F64" s="2">
        <v>28</v>
      </c>
      <c r="G64" s="2">
        <v>28</v>
      </c>
      <c r="H64" s="2">
        <v>33</v>
      </c>
      <c r="I64" s="2"/>
      <c r="J64" s="2"/>
      <c r="K64" s="2">
        <v>9</v>
      </c>
      <c r="L64" s="2">
        <v>11</v>
      </c>
      <c r="M64" s="2">
        <v>39</v>
      </c>
      <c r="N64" s="2">
        <v>38</v>
      </c>
      <c r="O64" s="2">
        <v>3</v>
      </c>
    </row>
    <row r="65" spans="1:15" x14ac:dyDescent="0.3">
      <c r="A65" s="38" t="s">
        <v>154</v>
      </c>
      <c r="B65" s="38" t="s">
        <v>155</v>
      </c>
      <c r="C65" s="2">
        <v>48</v>
      </c>
      <c r="D65" s="2">
        <v>52</v>
      </c>
      <c r="E65" s="2">
        <v>9</v>
      </c>
      <c r="F65" s="2">
        <v>11</v>
      </c>
      <c r="G65" s="2">
        <v>54</v>
      </c>
      <c r="H65" s="2">
        <v>26</v>
      </c>
      <c r="I65" s="2"/>
      <c r="J65" s="2"/>
      <c r="K65" s="2">
        <v>4</v>
      </c>
      <c r="L65" s="2">
        <v>37</v>
      </c>
      <c r="M65" s="2">
        <v>20</v>
      </c>
      <c r="N65" s="2">
        <v>28</v>
      </c>
      <c r="O65" s="2">
        <v>11</v>
      </c>
    </row>
    <row r="66" spans="1:15" x14ac:dyDescent="0.3">
      <c r="A66" s="38" t="s">
        <v>156</v>
      </c>
      <c r="B66" s="38" t="s">
        <v>157</v>
      </c>
      <c r="C66" s="2">
        <v>53</v>
      </c>
      <c r="D66" s="2">
        <v>47</v>
      </c>
      <c r="E66" s="2">
        <v>18</v>
      </c>
      <c r="F66" s="2">
        <v>22</v>
      </c>
      <c r="G66" s="2">
        <v>28</v>
      </c>
      <c r="H66" s="2">
        <v>32</v>
      </c>
      <c r="I66" s="2"/>
      <c r="J66" s="2"/>
      <c r="K66" s="2">
        <v>6</v>
      </c>
      <c r="L66" s="2">
        <v>17</v>
      </c>
      <c r="M66" s="2">
        <v>38</v>
      </c>
      <c r="N66" s="2">
        <v>24</v>
      </c>
      <c r="O66" s="2">
        <v>14</v>
      </c>
    </row>
    <row r="67" spans="1:15" x14ac:dyDescent="0.3">
      <c r="A67" s="38" t="s">
        <v>158</v>
      </c>
      <c r="B67" s="38" t="s">
        <v>531</v>
      </c>
      <c r="C67" s="2">
        <v>48</v>
      </c>
      <c r="D67" s="2">
        <v>52</v>
      </c>
      <c r="E67" s="2">
        <v>10</v>
      </c>
      <c r="F67" s="2">
        <v>22</v>
      </c>
      <c r="G67" s="2">
        <v>43</v>
      </c>
      <c r="H67" s="2">
        <v>25</v>
      </c>
      <c r="I67" s="2"/>
      <c r="J67" s="2"/>
      <c r="K67" s="2">
        <v>39</v>
      </c>
      <c r="L67" s="2">
        <v>19</v>
      </c>
      <c r="M67" s="2">
        <v>13</v>
      </c>
      <c r="N67" s="2">
        <v>17</v>
      </c>
      <c r="O67" s="2">
        <v>12</v>
      </c>
    </row>
    <row r="68" spans="1:15" x14ac:dyDescent="0.3">
      <c r="A68" s="38" t="s">
        <v>159</v>
      </c>
      <c r="B68" s="38" t="s">
        <v>160</v>
      </c>
      <c r="C68" s="2">
        <v>59</v>
      </c>
      <c r="D68" s="2">
        <v>41</v>
      </c>
      <c r="E68" s="2">
        <v>14</v>
      </c>
      <c r="F68" s="2">
        <v>14</v>
      </c>
      <c r="G68" s="2">
        <v>42</v>
      </c>
      <c r="H68" s="2">
        <v>31</v>
      </c>
      <c r="I68" s="2"/>
      <c r="J68" s="2"/>
      <c r="K68" s="2">
        <v>36</v>
      </c>
      <c r="L68" s="2">
        <v>17</v>
      </c>
      <c r="M68" s="2">
        <v>9</v>
      </c>
      <c r="N68" s="2">
        <v>19</v>
      </c>
      <c r="O68" s="2">
        <v>18</v>
      </c>
    </row>
    <row r="69" spans="1:15" x14ac:dyDescent="0.3">
      <c r="A69" s="38" t="s">
        <v>161</v>
      </c>
      <c r="B69" s="38" t="s">
        <v>162</v>
      </c>
      <c r="C69" s="2">
        <v>58</v>
      </c>
      <c r="D69" s="2">
        <v>42</v>
      </c>
      <c r="E69" s="2">
        <v>13</v>
      </c>
      <c r="F69" s="2">
        <v>27</v>
      </c>
      <c r="G69" s="2">
        <v>23</v>
      </c>
      <c r="H69" s="2">
        <v>37</v>
      </c>
      <c r="I69" s="2"/>
      <c r="J69" s="2"/>
      <c r="K69" s="2">
        <v>40</v>
      </c>
      <c r="L69" s="2">
        <v>19</v>
      </c>
      <c r="M69" s="2">
        <v>21</v>
      </c>
      <c r="N69" s="2">
        <v>13</v>
      </c>
      <c r="O69" s="2">
        <v>6</v>
      </c>
    </row>
    <row r="70" spans="1:15" x14ac:dyDescent="0.3">
      <c r="A70" s="38" t="s">
        <v>163</v>
      </c>
      <c r="B70" s="38" t="s">
        <v>164</v>
      </c>
      <c r="C70" s="2">
        <v>51</v>
      </c>
      <c r="D70" s="2">
        <v>49</v>
      </c>
      <c r="E70" s="2">
        <v>14</v>
      </c>
      <c r="F70" s="2">
        <v>21</v>
      </c>
      <c r="G70" s="2">
        <v>31</v>
      </c>
      <c r="H70" s="2">
        <v>34</v>
      </c>
      <c r="I70" s="2"/>
      <c r="J70" s="2"/>
      <c r="K70" s="2">
        <v>9</v>
      </c>
      <c r="L70" s="2">
        <v>15</v>
      </c>
      <c r="M70" s="2">
        <v>18</v>
      </c>
      <c r="N70" s="2">
        <v>31</v>
      </c>
      <c r="O70" s="2">
        <v>26</v>
      </c>
    </row>
    <row r="71" spans="1:15" x14ac:dyDescent="0.3">
      <c r="A71" s="38" t="s">
        <v>165</v>
      </c>
      <c r="B71" s="38" t="s">
        <v>166</v>
      </c>
      <c r="C71" s="2">
        <v>55</v>
      </c>
      <c r="D71" s="2">
        <v>45</v>
      </c>
      <c r="E71" s="2">
        <v>12</v>
      </c>
      <c r="F71" s="2">
        <v>19</v>
      </c>
      <c r="G71" s="2">
        <v>40</v>
      </c>
      <c r="H71" s="2">
        <v>29</v>
      </c>
      <c r="I71" s="2"/>
      <c r="J71" s="2"/>
      <c r="K71" s="2">
        <v>1</v>
      </c>
      <c r="L71" s="2">
        <v>9</v>
      </c>
      <c r="M71" s="2">
        <v>13</v>
      </c>
      <c r="N71" s="2">
        <v>30</v>
      </c>
      <c r="O71" s="2">
        <v>47</v>
      </c>
    </row>
    <row r="72" spans="1:15" x14ac:dyDescent="0.3">
      <c r="A72" s="38" t="s">
        <v>167</v>
      </c>
      <c r="B72" s="38" t="s">
        <v>168</v>
      </c>
      <c r="C72" s="2">
        <v>46</v>
      </c>
      <c r="D72" s="2">
        <v>54</v>
      </c>
      <c r="E72" s="2">
        <v>14</v>
      </c>
      <c r="F72" s="2">
        <v>22</v>
      </c>
      <c r="G72" s="2">
        <v>35</v>
      </c>
      <c r="H72" s="2">
        <v>30</v>
      </c>
      <c r="I72" s="2"/>
      <c r="J72" s="2"/>
      <c r="K72" s="2">
        <v>8</v>
      </c>
      <c r="L72" s="2">
        <v>13</v>
      </c>
      <c r="M72" s="2">
        <v>21</v>
      </c>
      <c r="N72" s="2">
        <v>34</v>
      </c>
      <c r="O72" s="2">
        <v>24</v>
      </c>
    </row>
    <row r="73" spans="1:15" x14ac:dyDescent="0.3">
      <c r="A73" s="38" t="s">
        <v>169</v>
      </c>
      <c r="B73" s="38" t="s">
        <v>519</v>
      </c>
      <c r="C73" s="2">
        <v>49</v>
      </c>
      <c r="D73" s="2">
        <v>51</v>
      </c>
      <c r="E73" s="2">
        <v>15</v>
      </c>
      <c r="F73" s="2">
        <v>18</v>
      </c>
      <c r="G73" s="2">
        <v>36</v>
      </c>
      <c r="H73" s="2">
        <v>32</v>
      </c>
      <c r="I73" s="2"/>
      <c r="J73" s="2"/>
      <c r="K73" s="2">
        <v>24</v>
      </c>
      <c r="L73" s="2">
        <v>24</v>
      </c>
      <c r="M73" s="2">
        <v>15</v>
      </c>
      <c r="N73" s="2">
        <v>17</v>
      </c>
      <c r="O73" s="2">
        <v>21</v>
      </c>
    </row>
    <row r="74" spans="1:15" x14ac:dyDescent="0.3">
      <c r="A74" s="38" t="s">
        <v>170</v>
      </c>
      <c r="B74" s="38" t="s">
        <v>171</v>
      </c>
      <c r="C74" s="2">
        <v>51</v>
      </c>
      <c r="D74" s="2">
        <v>49</v>
      </c>
      <c r="E74" s="2">
        <v>6</v>
      </c>
      <c r="F74" s="2">
        <v>28</v>
      </c>
      <c r="G74" s="2">
        <v>29</v>
      </c>
      <c r="H74" s="2">
        <v>38</v>
      </c>
      <c r="I74" s="2"/>
      <c r="J74" s="2"/>
      <c r="K74" s="2">
        <v>17</v>
      </c>
      <c r="L74" s="2">
        <v>29</v>
      </c>
      <c r="M74" s="2">
        <v>21</v>
      </c>
      <c r="N74" s="2">
        <v>22</v>
      </c>
      <c r="O74" s="2">
        <v>12</v>
      </c>
    </row>
    <row r="75" spans="1:15" x14ac:dyDescent="0.3">
      <c r="A75" s="38" t="s">
        <v>172</v>
      </c>
      <c r="B75" s="38" t="s">
        <v>173</v>
      </c>
      <c r="C75" s="2">
        <v>46</v>
      </c>
      <c r="D75" s="2">
        <v>54</v>
      </c>
      <c r="E75" s="2">
        <v>16</v>
      </c>
      <c r="F75" s="2">
        <v>30</v>
      </c>
      <c r="G75" s="2">
        <v>25</v>
      </c>
      <c r="H75" s="2">
        <v>29</v>
      </c>
      <c r="I75" s="2"/>
      <c r="J75" s="2"/>
      <c r="K75" s="2">
        <v>8</v>
      </c>
      <c r="L75" s="2">
        <v>29</v>
      </c>
      <c r="M75" s="2">
        <v>24</v>
      </c>
      <c r="N75" s="2">
        <v>19</v>
      </c>
      <c r="O75" s="2">
        <v>19</v>
      </c>
    </row>
    <row r="76" spans="1:15" x14ac:dyDescent="0.3">
      <c r="A76" s="38" t="s">
        <v>174</v>
      </c>
      <c r="B76" s="38" t="s">
        <v>175</v>
      </c>
      <c r="C76" s="2">
        <v>56</v>
      </c>
      <c r="D76" s="2">
        <v>44</v>
      </c>
      <c r="E76" s="2">
        <v>15</v>
      </c>
      <c r="F76" s="2">
        <v>29</v>
      </c>
      <c r="G76" s="2">
        <v>34</v>
      </c>
      <c r="H76" s="2">
        <v>22</v>
      </c>
      <c r="I76" s="2"/>
      <c r="J76" s="2"/>
      <c r="K76" s="2">
        <v>14</v>
      </c>
      <c r="L76" s="2">
        <v>10</v>
      </c>
      <c r="M76" s="2">
        <v>10</v>
      </c>
      <c r="N76" s="2">
        <v>40</v>
      </c>
      <c r="O76" s="2">
        <v>26</v>
      </c>
    </row>
    <row r="77" spans="1:15" x14ac:dyDescent="0.3">
      <c r="A77" s="38" t="s">
        <v>176</v>
      </c>
      <c r="B77" s="38" t="s">
        <v>177</v>
      </c>
      <c r="C77" s="2">
        <v>56</v>
      </c>
      <c r="D77" s="2">
        <v>44</v>
      </c>
      <c r="E77" s="2">
        <v>9</v>
      </c>
      <c r="F77" s="2">
        <v>22</v>
      </c>
      <c r="G77" s="2">
        <v>31</v>
      </c>
      <c r="H77" s="2">
        <v>37</v>
      </c>
      <c r="I77" s="2"/>
      <c r="J77" s="2"/>
      <c r="K77" s="2">
        <v>3</v>
      </c>
      <c r="L77" s="2">
        <v>9</v>
      </c>
      <c r="M77" s="2">
        <v>34</v>
      </c>
      <c r="N77" s="2">
        <v>27</v>
      </c>
      <c r="O77" s="2">
        <v>27</v>
      </c>
    </row>
    <row r="78" spans="1:15" x14ac:dyDescent="0.3">
      <c r="A78" s="38" t="s">
        <v>178</v>
      </c>
      <c r="B78" s="38" t="s">
        <v>179</v>
      </c>
      <c r="C78" s="2">
        <v>52</v>
      </c>
      <c r="D78" s="2">
        <v>48</v>
      </c>
      <c r="E78" s="2">
        <v>13</v>
      </c>
      <c r="F78" s="2">
        <v>17</v>
      </c>
      <c r="G78" s="2">
        <v>37</v>
      </c>
      <c r="H78" s="2">
        <v>33</v>
      </c>
      <c r="I78" s="2"/>
      <c r="J78" s="2"/>
      <c r="K78" s="2">
        <v>31</v>
      </c>
      <c r="L78" s="2">
        <v>23</v>
      </c>
      <c r="M78" s="2">
        <v>21</v>
      </c>
      <c r="N78" s="2">
        <v>15</v>
      </c>
      <c r="O78" s="2">
        <v>10</v>
      </c>
    </row>
    <row r="79" spans="1:15" x14ac:dyDescent="0.3">
      <c r="A79" s="38" t="s">
        <v>180</v>
      </c>
      <c r="B79" s="38" t="s">
        <v>181</v>
      </c>
      <c r="C79" s="2">
        <v>55</v>
      </c>
      <c r="D79" s="2">
        <v>45</v>
      </c>
      <c r="E79" s="2">
        <v>16</v>
      </c>
      <c r="F79" s="2">
        <v>27</v>
      </c>
      <c r="G79" s="2">
        <v>32</v>
      </c>
      <c r="H79" s="2">
        <v>26</v>
      </c>
      <c r="I79" s="2"/>
      <c r="J79" s="2"/>
      <c r="K79" s="2">
        <v>21</v>
      </c>
      <c r="L79" s="2">
        <v>28</v>
      </c>
      <c r="M79" s="2">
        <v>26</v>
      </c>
      <c r="N79" s="2">
        <v>14</v>
      </c>
      <c r="O79" s="2">
        <v>12</v>
      </c>
    </row>
    <row r="80" spans="1:15" x14ac:dyDescent="0.3">
      <c r="A80" s="38" t="s">
        <v>182</v>
      </c>
      <c r="B80" s="38" t="s">
        <v>537</v>
      </c>
      <c r="C80" s="2">
        <v>48</v>
      </c>
      <c r="D80" s="2">
        <v>52</v>
      </c>
      <c r="E80" s="2">
        <v>26</v>
      </c>
      <c r="F80" s="2">
        <v>22</v>
      </c>
      <c r="G80" s="2">
        <v>35</v>
      </c>
      <c r="H80" s="2">
        <v>17</v>
      </c>
      <c r="I80" s="2"/>
      <c r="J80" s="2"/>
      <c r="K80" s="2">
        <v>8</v>
      </c>
      <c r="L80" s="2">
        <v>19</v>
      </c>
      <c r="M80" s="2">
        <v>13</v>
      </c>
      <c r="N80" s="2">
        <v>22</v>
      </c>
      <c r="O80" s="2">
        <v>38</v>
      </c>
    </row>
    <row r="81" spans="1:15" x14ac:dyDescent="0.3">
      <c r="A81" s="38" t="s">
        <v>183</v>
      </c>
      <c r="B81" s="38" t="s">
        <v>184</v>
      </c>
      <c r="C81" s="2">
        <v>57</v>
      </c>
      <c r="D81" s="2">
        <v>43</v>
      </c>
      <c r="E81" s="2">
        <v>16</v>
      </c>
      <c r="F81" s="2">
        <v>26</v>
      </c>
      <c r="G81" s="2">
        <v>21</v>
      </c>
      <c r="H81" s="2">
        <v>37</v>
      </c>
      <c r="I81" s="2"/>
      <c r="J81" s="2"/>
      <c r="K81" s="2">
        <v>10</v>
      </c>
      <c r="L81" s="2">
        <v>27</v>
      </c>
      <c r="M81" s="2">
        <v>32</v>
      </c>
      <c r="N81" s="2">
        <v>20</v>
      </c>
      <c r="O81" s="2">
        <v>11</v>
      </c>
    </row>
    <row r="82" spans="1:15" x14ac:dyDescent="0.3">
      <c r="A82" s="38" t="s">
        <v>185</v>
      </c>
      <c r="B82" s="38" t="s">
        <v>533</v>
      </c>
      <c r="C82" s="2">
        <v>53</v>
      </c>
      <c r="D82" s="2">
        <v>47</v>
      </c>
      <c r="E82" s="2">
        <v>14</v>
      </c>
      <c r="F82" s="2">
        <v>22</v>
      </c>
      <c r="G82" s="2">
        <v>34</v>
      </c>
      <c r="H82" s="2">
        <v>29</v>
      </c>
      <c r="I82" s="2"/>
      <c r="J82" s="2"/>
      <c r="K82" s="2">
        <v>2</v>
      </c>
      <c r="L82" s="2">
        <v>17</v>
      </c>
      <c r="M82" s="2">
        <v>19</v>
      </c>
      <c r="N82" s="2">
        <v>28</v>
      </c>
      <c r="O82" s="2">
        <v>34</v>
      </c>
    </row>
    <row r="83" spans="1:15" x14ac:dyDescent="0.3">
      <c r="A83" s="38" t="s">
        <v>186</v>
      </c>
      <c r="B83" s="38" t="s">
        <v>523</v>
      </c>
      <c r="C83" s="2">
        <v>42</v>
      </c>
      <c r="D83" s="2">
        <v>58</v>
      </c>
      <c r="E83" s="2">
        <v>8</v>
      </c>
      <c r="F83" s="2">
        <v>34</v>
      </c>
      <c r="G83" s="2">
        <v>28</v>
      </c>
      <c r="H83" s="2">
        <v>30</v>
      </c>
      <c r="I83" s="2"/>
      <c r="J83" s="2"/>
      <c r="K83" s="2">
        <v>38</v>
      </c>
      <c r="L83" s="2">
        <v>54</v>
      </c>
      <c r="M83" s="2">
        <v>8</v>
      </c>
      <c r="N83" s="2">
        <v>0</v>
      </c>
      <c r="O83" s="2">
        <v>0</v>
      </c>
    </row>
    <row r="84" spans="1:15" x14ac:dyDescent="0.3">
      <c r="A84" s="38" t="s">
        <v>187</v>
      </c>
      <c r="B84" s="38" t="s">
        <v>188</v>
      </c>
      <c r="C84" s="2">
        <v>54</v>
      </c>
      <c r="D84" s="2">
        <v>46</v>
      </c>
      <c r="E84" s="2">
        <v>11</v>
      </c>
      <c r="F84" s="2">
        <v>19</v>
      </c>
      <c r="G84" s="2">
        <v>27</v>
      </c>
      <c r="H84" s="2">
        <v>43</v>
      </c>
      <c r="I84" s="2"/>
      <c r="J84" s="2"/>
      <c r="K84" s="2">
        <v>38</v>
      </c>
      <c r="L84" s="2">
        <v>24</v>
      </c>
      <c r="M84" s="2">
        <v>10</v>
      </c>
      <c r="N84" s="2">
        <v>19</v>
      </c>
      <c r="O84" s="2">
        <v>10</v>
      </c>
    </row>
    <row r="85" spans="1:15" x14ac:dyDescent="0.3">
      <c r="A85" s="38" t="s">
        <v>189</v>
      </c>
      <c r="B85" s="38" t="s">
        <v>190</v>
      </c>
      <c r="C85" s="2">
        <v>54</v>
      </c>
      <c r="D85" s="2">
        <v>46</v>
      </c>
      <c r="E85" s="2">
        <v>19</v>
      </c>
      <c r="F85" s="2">
        <v>19</v>
      </c>
      <c r="G85" s="2">
        <v>34</v>
      </c>
      <c r="H85" s="2">
        <v>29</v>
      </c>
      <c r="I85" s="2"/>
      <c r="J85" s="2"/>
      <c r="K85" s="2">
        <v>27</v>
      </c>
      <c r="L85" s="2">
        <v>11</v>
      </c>
      <c r="M85" s="2">
        <v>23</v>
      </c>
      <c r="N85" s="2">
        <v>19</v>
      </c>
      <c r="O85" s="2">
        <v>20</v>
      </c>
    </row>
    <row r="86" spans="1:15" x14ac:dyDescent="0.3">
      <c r="A86" s="38" t="s">
        <v>191</v>
      </c>
      <c r="B86" s="38" t="s">
        <v>192</v>
      </c>
      <c r="C86" s="2">
        <v>51</v>
      </c>
      <c r="D86" s="2">
        <v>49</v>
      </c>
      <c r="E86" s="2">
        <v>15</v>
      </c>
      <c r="F86" s="2">
        <v>15</v>
      </c>
      <c r="G86" s="2">
        <v>34</v>
      </c>
      <c r="H86" s="2">
        <v>36</v>
      </c>
      <c r="I86" s="2"/>
      <c r="J86" s="2"/>
      <c r="K86" s="2">
        <v>33</v>
      </c>
      <c r="L86" s="2">
        <v>15</v>
      </c>
      <c r="M86" s="2">
        <v>15</v>
      </c>
      <c r="N86" s="2">
        <v>20</v>
      </c>
      <c r="O86" s="2">
        <v>17</v>
      </c>
    </row>
    <row r="87" spans="1:15" x14ac:dyDescent="0.3">
      <c r="A87" s="38" t="s">
        <v>193</v>
      </c>
      <c r="B87" s="38" t="s">
        <v>194</v>
      </c>
      <c r="C87" s="2">
        <v>49</v>
      </c>
      <c r="D87" s="2">
        <v>51</v>
      </c>
      <c r="E87" s="2">
        <v>15</v>
      </c>
      <c r="F87" s="2">
        <v>24</v>
      </c>
      <c r="G87" s="2">
        <v>35</v>
      </c>
      <c r="H87" s="2">
        <v>26</v>
      </c>
      <c r="I87" s="2"/>
      <c r="J87" s="2"/>
      <c r="K87" s="2">
        <v>31</v>
      </c>
      <c r="L87" s="2">
        <v>17</v>
      </c>
      <c r="M87" s="2">
        <v>19</v>
      </c>
      <c r="N87" s="2">
        <v>18</v>
      </c>
      <c r="O87" s="2">
        <v>15</v>
      </c>
    </row>
    <row r="88" spans="1:15" x14ac:dyDescent="0.3">
      <c r="A88" s="38" t="s">
        <v>195</v>
      </c>
      <c r="B88" s="38" t="s">
        <v>196</v>
      </c>
      <c r="C88" s="2">
        <v>49</v>
      </c>
      <c r="D88" s="2">
        <v>51</v>
      </c>
      <c r="E88" s="2">
        <v>25</v>
      </c>
      <c r="F88" s="2">
        <v>28</v>
      </c>
      <c r="G88" s="2">
        <v>31</v>
      </c>
      <c r="H88" s="2">
        <v>15</v>
      </c>
      <c r="I88" s="2"/>
      <c r="J88" s="2"/>
      <c r="K88" s="2">
        <v>17</v>
      </c>
      <c r="L88" s="2">
        <v>38</v>
      </c>
      <c r="M88" s="2">
        <v>21</v>
      </c>
      <c r="N88" s="2">
        <v>13</v>
      </c>
      <c r="O88" s="2">
        <v>11</v>
      </c>
    </row>
    <row r="89" spans="1:15" x14ac:dyDescent="0.3">
      <c r="A89" s="38" t="s">
        <v>197</v>
      </c>
      <c r="B89" s="38" t="s">
        <v>529</v>
      </c>
      <c r="C89" s="2">
        <v>52</v>
      </c>
      <c r="D89" s="2">
        <v>48</v>
      </c>
      <c r="E89" s="2">
        <v>19</v>
      </c>
      <c r="F89" s="2">
        <v>29</v>
      </c>
      <c r="G89" s="2">
        <v>34</v>
      </c>
      <c r="H89" s="2">
        <v>18</v>
      </c>
      <c r="I89" s="2"/>
      <c r="J89" s="2"/>
      <c r="K89" s="2">
        <v>24</v>
      </c>
      <c r="L89" s="2">
        <v>21</v>
      </c>
      <c r="M89" s="2">
        <v>15</v>
      </c>
      <c r="N89" s="2">
        <v>20</v>
      </c>
      <c r="O89" s="2">
        <v>19</v>
      </c>
    </row>
    <row r="90" spans="1:15" x14ac:dyDescent="0.3">
      <c r="A90" s="38" t="s">
        <v>198</v>
      </c>
      <c r="B90" s="38" t="s">
        <v>199</v>
      </c>
      <c r="C90" s="2">
        <v>47</v>
      </c>
      <c r="D90" s="2">
        <v>53</v>
      </c>
      <c r="E90" s="2">
        <v>13</v>
      </c>
      <c r="F90" s="2">
        <v>15</v>
      </c>
      <c r="G90" s="2">
        <v>36</v>
      </c>
      <c r="H90" s="2">
        <v>36</v>
      </c>
      <c r="I90" s="2"/>
      <c r="J90" s="2"/>
      <c r="K90" s="2">
        <v>4</v>
      </c>
      <c r="L90" s="2">
        <v>9</v>
      </c>
      <c r="M90" s="2">
        <v>26</v>
      </c>
      <c r="N90" s="2">
        <v>25</v>
      </c>
      <c r="O90" s="2">
        <v>35</v>
      </c>
    </row>
    <row r="91" spans="1:15" x14ac:dyDescent="0.3">
      <c r="A91" s="38" t="s">
        <v>200</v>
      </c>
      <c r="B91" s="38" t="s">
        <v>201</v>
      </c>
      <c r="C91" s="2">
        <v>53</v>
      </c>
      <c r="D91" s="2">
        <v>47</v>
      </c>
      <c r="E91" s="2">
        <v>4</v>
      </c>
      <c r="F91" s="2">
        <v>27</v>
      </c>
      <c r="G91" s="2">
        <v>35</v>
      </c>
      <c r="H91" s="2">
        <v>33</v>
      </c>
      <c r="I91" s="2"/>
      <c r="J91" s="2"/>
      <c r="K91" s="2">
        <v>20</v>
      </c>
      <c r="L91" s="2">
        <v>15</v>
      </c>
      <c r="M91" s="2">
        <v>25</v>
      </c>
      <c r="N91" s="2">
        <v>20</v>
      </c>
      <c r="O91" s="2">
        <v>20</v>
      </c>
    </row>
    <row r="92" spans="1:15" x14ac:dyDescent="0.3">
      <c r="A92" s="38" t="s">
        <v>202</v>
      </c>
      <c r="B92" s="38" t="s">
        <v>541</v>
      </c>
      <c r="C92" s="2">
        <v>46</v>
      </c>
      <c r="D92" s="2">
        <v>54</v>
      </c>
      <c r="E92" s="2">
        <v>11</v>
      </c>
      <c r="F92" s="2">
        <v>20</v>
      </c>
      <c r="G92" s="2">
        <v>38</v>
      </c>
      <c r="H92" s="2">
        <v>31</v>
      </c>
      <c r="I92" s="2"/>
      <c r="J92" s="2"/>
      <c r="K92" s="2">
        <v>11</v>
      </c>
      <c r="L92" s="2">
        <v>16</v>
      </c>
      <c r="M92" s="2">
        <v>23</v>
      </c>
      <c r="N92" s="2">
        <v>25</v>
      </c>
      <c r="O92" s="2">
        <v>25</v>
      </c>
    </row>
    <row r="93" spans="1:15" x14ac:dyDescent="0.3">
      <c r="A93" s="38" t="s">
        <v>203</v>
      </c>
      <c r="B93" s="38" t="s">
        <v>204</v>
      </c>
      <c r="C93" s="2">
        <v>53</v>
      </c>
      <c r="D93" s="2">
        <v>47</v>
      </c>
      <c r="E93" s="2">
        <v>20</v>
      </c>
      <c r="F93" s="2">
        <v>21</v>
      </c>
      <c r="G93" s="2">
        <v>34</v>
      </c>
      <c r="H93" s="2">
        <v>25</v>
      </c>
      <c r="I93" s="2"/>
      <c r="J93" s="2"/>
      <c r="K93" s="2">
        <v>5</v>
      </c>
      <c r="L93" s="2">
        <v>6</v>
      </c>
      <c r="M93" s="2">
        <v>17</v>
      </c>
      <c r="N93" s="2">
        <v>27</v>
      </c>
      <c r="O93" s="2">
        <v>44</v>
      </c>
    </row>
    <row r="94" spans="1:15" x14ac:dyDescent="0.3">
      <c r="A94" s="38" t="s">
        <v>205</v>
      </c>
      <c r="B94" s="38" t="s">
        <v>206</v>
      </c>
      <c r="C94" s="2">
        <v>49</v>
      </c>
      <c r="D94" s="2">
        <v>51</v>
      </c>
      <c r="E94" s="2">
        <v>20</v>
      </c>
      <c r="F94" s="2">
        <v>14</v>
      </c>
      <c r="G94" s="2">
        <v>33</v>
      </c>
      <c r="H94" s="2">
        <v>33</v>
      </c>
      <c r="I94" s="2"/>
      <c r="J94" s="2"/>
      <c r="K94" s="2">
        <v>1</v>
      </c>
      <c r="L94" s="2">
        <v>13</v>
      </c>
      <c r="M94" s="2">
        <v>22</v>
      </c>
      <c r="N94" s="2">
        <v>26</v>
      </c>
      <c r="O94" s="2">
        <v>39</v>
      </c>
    </row>
    <row r="95" spans="1:15" x14ac:dyDescent="0.3">
      <c r="A95" s="38" t="s">
        <v>207</v>
      </c>
      <c r="B95" s="38" t="s">
        <v>208</v>
      </c>
      <c r="C95" s="2">
        <v>47</v>
      </c>
      <c r="D95" s="2">
        <v>53</v>
      </c>
      <c r="E95" s="2">
        <v>14</v>
      </c>
      <c r="F95" s="2">
        <v>22</v>
      </c>
      <c r="G95" s="2">
        <v>30</v>
      </c>
      <c r="H95" s="2">
        <v>34</v>
      </c>
      <c r="I95" s="2"/>
      <c r="J95" s="2"/>
      <c r="K95" s="2">
        <v>0</v>
      </c>
      <c r="L95" s="2">
        <v>11</v>
      </c>
      <c r="M95" s="2">
        <v>16</v>
      </c>
      <c r="N95" s="2">
        <v>30</v>
      </c>
      <c r="O95" s="2">
        <v>44</v>
      </c>
    </row>
    <row r="96" spans="1:15" x14ac:dyDescent="0.3">
      <c r="A96" s="38" t="s">
        <v>209</v>
      </c>
      <c r="B96" s="38" t="s">
        <v>210</v>
      </c>
      <c r="C96" s="2">
        <v>49</v>
      </c>
      <c r="D96" s="2">
        <v>51</v>
      </c>
      <c r="E96" s="2">
        <v>7</v>
      </c>
      <c r="F96" s="2">
        <v>33</v>
      </c>
      <c r="G96" s="2">
        <v>30</v>
      </c>
      <c r="H96" s="2">
        <v>30</v>
      </c>
      <c r="I96" s="2"/>
      <c r="J96" s="2"/>
      <c r="K96" s="2">
        <v>26</v>
      </c>
      <c r="L96" s="2">
        <v>17</v>
      </c>
      <c r="M96" s="2">
        <v>17</v>
      </c>
      <c r="N96" s="2">
        <v>17</v>
      </c>
      <c r="O96" s="2">
        <v>24</v>
      </c>
    </row>
    <row r="97" spans="1:15" x14ac:dyDescent="0.3">
      <c r="A97" s="38" t="s">
        <v>211</v>
      </c>
      <c r="B97" s="38" t="s">
        <v>543</v>
      </c>
      <c r="C97" s="2">
        <v>48</v>
      </c>
      <c r="D97" s="2">
        <v>52</v>
      </c>
      <c r="E97" s="2">
        <v>12</v>
      </c>
      <c r="F97" s="2">
        <v>23</v>
      </c>
      <c r="G97" s="2">
        <v>38</v>
      </c>
      <c r="H97" s="2">
        <v>27</v>
      </c>
      <c r="I97" s="2"/>
      <c r="J97" s="2"/>
      <c r="K97" s="2">
        <v>16</v>
      </c>
      <c r="L97" s="2">
        <v>16</v>
      </c>
      <c r="M97" s="2">
        <v>30</v>
      </c>
      <c r="N97" s="2">
        <v>18</v>
      </c>
      <c r="O97" s="2">
        <v>18</v>
      </c>
    </row>
    <row r="98" spans="1:15" x14ac:dyDescent="0.3">
      <c r="A98" s="38" t="s">
        <v>212</v>
      </c>
      <c r="B98" s="38" t="s">
        <v>213</v>
      </c>
      <c r="C98" s="2">
        <v>46</v>
      </c>
      <c r="D98" s="2">
        <v>54</v>
      </c>
      <c r="E98" s="2">
        <v>17</v>
      </c>
      <c r="F98" s="2">
        <v>19</v>
      </c>
      <c r="G98" s="2">
        <v>38</v>
      </c>
      <c r="H98" s="2">
        <v>27</v>
      </c>
      <c r="I98" s="2"/>
      <c r="J98" s="2"/>
      <c r="K98" s="2">
        <v>11</v>
      </c>
      <c r="L98" s="2">
        <v>13</v>
      </c>
      <c r="M98" s="2">
        <v>13</v>
      </c>
      <c r="N98" s="2">
        <v>22</v>
      </c>
      <c r="O98" s="2">
        <v>40</v>
      </c>
    </row>
    <row r="99" spans="1:15" x14ac:dyDescent="0.3">
      <c r="A99" s="38" t="s">
        <v>214</v>
      </c>
      <c r="B99" s="38" t="s">
        <v>520</v>
      </c>
      <c r="C99" s="2">
        <v>54</v>
      </c>
      <c r="D99" s="2">
        <v>46</v>
      </c>
      <c r="E99" s="2">
        <v>7</v>
      </c>
      <c r="F99" s="2">
        <v>22</v>
      </c>
      <c r="G99" s="2">
        <v>36</v>
      </c>
      <c r="H99" s="2">
        <v>35</v>
      </c>
      <c r="I99" s="2"/>
      <c r="J99" s="2"/>
      <c r="K99" s="2">
        <v>3</v>
      </c>
      <c r="L99" s="2">
        <v>12</v>
      </c>
      <c r="M99" s="2">
        <v>8</v>
      </c>
      <c r="N99" s="2">
        <v>31</v>
      </c>
      <c r="O99" s="2">
        <v>46</v>
      </c>
    </row>
    <row r="100" spans="1:15" x14ac:dyDescent="0.3">
      <c r="A100" s="38" t="s">
        <v>215</v>
      </c>
      <c r="B100" s="38" t="s">
        <v>216</v>
      </c>
      <c r="C100" s="2">
        <v>48</v>
      </c>
      <c r="D100" s="2">
        <v>52</v>
      </c>
      <c r="E100" s="2">
        <v>9</v>
      </c>
      <c r="F100" s="2">
        <v>20</v>
      </c>
      <c r="G100" s="2">
        <v>40</v>
      </c>
      <c r="H100" s="2">
        <v>31</v>
      </c>
      <c r="I100" s="2"/>
      <c r="J100" s="2"/>
      <c r="K100" s="2">
        <v>14</v>
      </c>
      <c r="L100" s="2">
        <v>24</v>
      </c>
      <c r="M100" s="2">
        <v>29</v>
      </c>
      <c r="N100" s="2">
        <v>25</v>
      </c>
      <c r="O100" s="2">
        <v>8</v>
      </c>
    </row>
    <row r="101" spans="1:15" x14ac:dyDescent="0.3">
      <c r="A101" s="38" t="s">
        <v>217</v>
      </c>
      <c r="B101" s="38" t="s">
        <v>530</v>
      </c>
      <c r="C101" s="2">
        <v>60</v>
      </c>
      <c r="D101" s="2">
        <v>40</v>
      </c>
      <c r="E101" s="2">
        <v>17</v>
      </c>
      <c r="F101" s="2">
        <v>20</v>
      </c>
      <c r="G101" s="2">
        <v>33</v>
      </c>
      <c r="H101" s="2">
        <v>30</v>
      </c>
      <c r="I101" s="2"/>
      <c r="J101" s="2"/>
      <c r="K101" s="2">
        <v>30</v>
      </c>
      <c r="L101" s="2">
        <v>20</v>
      </c>
      <c r="M101" s="2">
        <v>13</v>
      </c>
      <c r="N101" s="2">
        <v>17</v>
      </c>
      <c r="O101" s="2">
        <v>19</v>
      </c>
    </row>
    <row r="102" spans="1:15" x14ac:dyDescent="0.3">
      <c r="A102" s="38" t="s">
        <v>218</v>
      </c>
      <c r="B102" s="38" t="s">
        <v>219</v>
      </c>
      <c r="C102" s="2">
        <v>55</v>
      </c>
      <c r="D102" s="2">
        <v>45</v>
      </c>
      <c r="E102" s="2">
        <v>15</v>
      </c>
      <c r="F102" s="2">
        <v>25</v>
      </c>
      <c r="G102" s="2">
        <v>35</v>
      </c>
      <c r="H102" s="2">
        <v>26</v>
      </c>
      <c r="I102" s="2"/>
      <c r="J102" s="2"/>
      <c r="K102" s="2">
        <v>24</v>
      </c>
      <c r="L102" s="2">
        <v>22</v>
      </c>
      <c r="M102" s="2">
        <v>17</v>
      </c>
      <c r="N102" s="2">
        <v>21</v>
      </c>
      <c r="O102" s="2">
        <v>17</v>
      </c>
    </row>
    <row r="103" spans="1:15" x14ac:dyDescent="0.3">
      <c r="A103" s="38" t="s">
        <v>220</v>
      </c>
      <c r="B103" s="38" t="s">
        <v>221</v>
      </c>
      <c r="C103" s="2">
        <v>62</v>
      </c>
      <c r="D103" s="2">
        <v>38</v>
      </c>
      <c r="E103" s="2">
        <v>9</v>
      </c>
      <c r="F103" s="2">
        <v>15</v>
      </c>
      <c r="G103" s="2">
        <v>38</v>
      </c>
      <c r="H103" s="2">
        <v>38</v>
      </c>
      <c r="I103" s="2"/>
      <c r="J103" s="2"/>
      <c r="K103" s="2">
        <v>15</v>
      </c>
      <c r="L103" s="2">
        <v>26</v>
      </c>
      <c r="M103" s="2">
        <v>23</v>
      </c>
      <c r="N103" s="2">
        <v>16</v>
      </c>
      <c r="O103" s="2">
        <v>20</v>
      </c>
    </row>
    <row r="104" spans="1:15" x14ac:dyDescent="0.3">
      <c r="A104" s="38" t="s">
        <v>222</v>
      </c>
      <c r="B104" s="38" t="s">
        <v>542</v>
      </c>
      <c r="C104" s="2">
        <v>49</v>
      </c>
      <c r="D104" s="2">
        <v>51</v>
      </c>
      <c r="E104" s="2">
        <v>14</v>
      </c>
      <c r="F104" s="2">
        <v>21</v>
      </c>
      <c r="G104" s="2">
        <v>38</v>
      </c>
      <c r="H104" s="2">
        <v>27</v>
      </c>
      <c r="I104" s="2"/>
      <c r="J104" s="2"/>
      <c r="K104" s="2">
        <v>12</v>
      </c>
      <c r="L104" s="2">
        <v>16</v>
      </c>
      <c r="M104" s="2">
        <v>16</v>
      </c>
      <c r="N104" s="2">
        <v>29</v>
      </c>
      <c r="O104" s="2">
        <v>28</v>
      </c>
    </row>
    <row r="105" spans="1:15" x14ac:dyDescent="0.3">
      <c r="A105" s="38" t="s">
        <v>223</v>
      </c>
      <c r="B105" s="38" t="s">
        <v>224</v>
      </c>
      <c r="C105" s="2">
        <v>54</v>
      </c>
      <c r="D105" s="2">
        <v>46</v>
      </c>
      <c r="E105" s="2">
        <v>10</v>
      </c>
      <c r="F105" s="2">
        <v>17</v>
      </c>
      <c r="G105" s="2">
        <v>34</v>
      </c>
      <c r="H105" s="2">
        <v>38</v>
      </c>
      <c r="I105" s="2"/>
      <c r="J105" s="2"/>
      <c r="K105" s="2">
        <v>4</v>
      </c>
      <c r="L105" s="2">
        <v>15</v>
      </c>
      <c r="M105" s="2">
        <v>20</v>
      </c>
      <c r="N105" s="2">
        <v>24</v>
      </c>
      <c r="O105" s="2">
        <v>36</v>
      </c>
    </row>
    <row r="106" spans="1:15" x14ac:dyDescent="0.3">
      <c r="A106" s="38" t="s">
        <v>225</v>
      </c>
      <c r="B106" s="38" t="s">
        <v>547</v>
      </c>
      <c r="C106" s="2">
        <v>46</v>
      </c>
      <c r="D106" s="2">
        <v>54</v>
      </c>
      <c r="E106" s="2">
        <v>7</v>
      </c>
      <c r="F106" s="2">
        <v>23</v>
      </c>
      <c r="G106" s="2">
        <v>28</v>
      </c>
      <c r="H106" s="2">
        <v>41</v>
      </c>
      <c r="I106" s="2"/>
      <c r="J106" s="2"/>
      <c r="K106" s="2">
        <v>2</v>
      </c>
      <c r="L106" s="2">
        <v>9</v>
      </c>
      <c r="M106" s="2">
        <v>27</v>
      </c>
      <c r="N106" s="2">
        <v>20</v>
      </c>
      <c r="O106" s="2">
        <v>41</v>
      </c>
    </row>
    <row r="107" spans="1:15" x14ac:dyDescent="0.3">
      <c r="A107" s="38" t="s">
        <v>226</v>
      </c>
      <c r="B107" s="38" t="s">
        <v>227</v>
      </c>
      <c r="C107" s="2">
        <v>59</v>
      </c>
      <c r="D107" s="2">
        <v>41</v>
      </c>
      <c r="E107" s="2">
        <v>6</v>
      </c>
      <c r="F107" s="2">
        <v>20</v>
      </c>
      <c r="G107" s="2">
        <v>32</v>
      </c>
      <c r="H107" s="2">
        <v>42</v>
      </c>
      <c r="I107" s="2"/>
      <c r="J107" s="2"/>
      <c r="K107" s="2">
        <v>3</v>
      </c>
      <c r="L107" s="2">
        <v>13</v>
      </c>
      <c r="M107" s="2">
        <v>20</v>
      </c>
      <c r="N107" s="2">
        <v>17</v>
      </c>
      <c r="O107" s="2">
        <v>46</v>
      </c>
    </row>
    <row r="108" spans="1:15" x14ac:dyDescent="0.3">
      <c r="A108" s="38" t="s">
        <v>228</v>
      </c>
      <c r="B108" s="38" t="s">
        <v>229</v>
      </c>
      <c r="C108" s="2">
        <v>59</v>
      </c>
      <c r="D108" s="2">
        <v>41</v>
      </c>
      <c r="E108" s="2">
        <v>8</v>
      </c>
      <c r="F108" s="2">
        <v>20</v>
      </c>
      <c r="G108" s="2">
        <v>38</v>
      </c>
      <c r="H108" s="2">
        <v>34</v>
      </c>
      <c r="I108" s="2"/>
      <c r="J108" s="2"/>
      <c r="K108" s="2">
        <v>16</v>
      </c>
      <c r="L108" s="2">
        <v>25</v>
      </c>
      <c r="M108" s="2">
        <v>8</v>
      </c>
      <c r="N108" s="2">
        <v>22</v>
      </c>
      <c r="O108" s="2">
        <v>28</v>
      </c>
    </row>
    <row r="109" spans="1:15" x14ac:dyDescent="0.3">
      <c r="A109" s="38" t="s">
        <v>230</v>
      </c>
      <c r="B109" s="38" t="s">
        <v>231</v>
      </c>
      <c r="C109" s="2">
        <v>54</v>
      </c>
      <c r="D109" s="2">
        <v>46</v>
      </c>
      <c r="E109" s="2">
        <v>10</v>
      </c>
      <c r="F109" s="2">
        <v>27</v>
      </c>
      <c r="G109" s="2">
        <v>32</v>
      </c>
      <c r="H109" s="2">
        <v>31</v>
      </c>
      <c r="I109" s="2"/>
      <c r="J109" s="2"/>
      <c r="K109" s="2">
        <v>9</v>
      </c>
      <c r="L109" s="2">
        <v>15</v>
      </c>
      <c r="M109" s="2">
        <v>26</v>
      </c>
      <c r="N109" s="2">
        <v>29</v>
      </c>
      <c r="O109" s="2">
        <v>22</v>
      </c>
    </row>
    <row r="110" spans="1:15" x14ac:dyDescent="0.3">
      <c r="A110" s="38" t="s">
        <v>232</v>
      </c>
      <c r="B110" s="38" t="s">
        <v>546</v>
      </c>
      <c r="C110" s="2">
        <v>56</v>
      </c>
      <c r="D110" s="2">
        <v>44</v>
      </c>
      <c r="E110" s="2">
        <v>6</v>
      </c>
      <c r="F110" s="2">
        <v>17</v>
      </c>
      <c r="G110" s="2">
        <v>39</v>
      </c>
      <c r="H110" s="2">
        <v>38</v>
      </c>
      <c r="I110" s="2"/>
      <c r="J110" s="2"/>
      <c r="K110" s="2">
        <v>30</v>
      </c>
      <c r="L110" s="2">
        <v>17</v>
      </c>
      <c r="M110" s="2">
        <v>6</v>
      </c>
      <c r="N110" s="2">
        <v>23</v>
      </c>
      <c r="O110" s="2">
        <v>23</v>
      </c>
    </row>
    <row r="111" spans="1:15" x14ac:dyDescent="0.3">
      <c r="A111" s="38" t="s">
        <v>233</v>
      </c>
      <c r="B111" s="38" t="s">
        <v>514</v>
      </c>
      <c r="C111" s="2">
        <v>51</v>
      </c>
      <c r="D111" s="2">
        <v>49</v>
      </c>
      <c r="E111" s="2">
        <v>13</v>
      </c>
      <c r="F111" s="2">
        <v>20</v>
      </c>
      <c r="G111" s="2">
        <v>38</v>
      </c>
      <c r="H111" s="2">
        <v>30</v>
      </c>
      <c r="I111" s="2"/>
      <c r="J111" s="2"/>
      <c r="K111" s="2">
        <v>24</v>
      </c>
      <c r="L111" s="2">
        <v>20</v>
      </c>
      <c r="M111" s="2">
        <v>21</v>
      </c>
      <c r="N111" s="2">
        <v>25</v>
      </c>
      <c r="O111" s="2">
        <v>9</v>
      </c>
    </row>
    <row r="112" spans="1:15" x14ac:dyDescent="0.3">
      <c r="A112" s="38" t="s">
        <v>234</v>
      </c>
      <c r="B112" s="38" t="s">
        <v>235</v>
      </c>
      <c r="C112" s="2">
        <v>48</v>
      </c>
      <c r="D112" s="2">
        <v>52</v>
      </c>
      <c r="E112" s="2">
        <v>18</v>
      </c>
      <c r="F112" s="2">
        <v>25</v>
      </c>
      <c r="G112" s="2">
        <v>37</v>
      </c>
      <c r="H112" s="2">
        <v>20</v>
      </c>
      <c r="I112" s="2"/>
      <c r="J112" s="2"/>
      <c r="K112" s="2">
        <v>22</v>
      </c>
      <c r="L112" s="2">
        <v>15</v>
      </c>
      <c r="M112" s="2">
        <v>17</v>
      </c>
      <c r="N112" s="2">
        <v>20</v>
      </c>
      <c r="O112" s="2">
        <v>25</v>
      </c>
    </row>
    <row r="113" spans="1:15" x14ac:dyDescent="0.3">
      <c r="A113" s="38" t="s">
        <v>236</v>
      </c>
      <c r="B113" s="38" t="s">
        <v>237</v>
      </c>
      <c r="C113" s="2">
        <v>44</v>
      </c>
      <c r="D113" s="2">
        <v>56</v>
      </c>
      <c r="E113" s="2">
        <v>11</v>
      </c>
      <c r="F113" s="2">
        <v>16</v>
      </c>
      <c r="G113" s="2">
        <v>41</v>
      </c>
      <c r="H113" s="2">
        <v>32</v>
      </c>
      <c r="I113" s="2"/>
      <c r="J113" s="2"/>
      <c r="K113" s="2">
        <v>9</v>
      </c>
      <c r="L113" s="2">
        <v>19</v>
      </c>
      <c r="M113" s="2">
        <v>28</v>
      </c>
      <c r="N113" s="2">
        <v>31</v>
      </c>
      <c r="O113" s="2">
        <v>13</v>
      </c>
    </row>
    <row r="114" spans="1:15" x14ac:dyDescent="0.3">
      <c r="A114" s="38" t="s">
        <v>238</v>
      </c>
      <c r="B114" s="38" t="s">
        <v>528</v>
      </c>
      <c r="C114" s="2">
        <v>46</v>
      </c>
      <c r="D114" s="2">
        <v>54</v>
      </c>
      <c r="E114" s="2">
        <v>15</v>
      </c>
      <c r="F114" s="2">
        <v>23</v>
      </c>
      <c r="G114" s="2">
        <v>33</v>
      </c>
      <c r="H114" s="2">
        <v>29</v>
      </c>
      <c r="I114" s="2"/>
      <c r="J114" s="2"/>
      <c r="K114" s="2">
        <v>27</v>
      </c>
      <c r="L114" s="2">
        <v>23</v>
      </c>
      <c r="M114" s="2">
        <v>25</v>
      </c>
      <c r="N114" s="2">
        <v>16</v>
      </c>
      <c r="O114" s="2">
        <v>9</v>
      </c>
    </row>
    <row r="115" spans="1:15" x14ac:dyDescent="0.3">
      <c r="A115" s="38" t="s">
        <v>239</v>
      </c>
      <c r="B115" s="38" t="s">
        <v>240</v>
      </c>
      <c r="C115" s="2">
        <v>49</v>
      </c>
      <c r="D115" s="2">
        <v>51</v>
      </c>
      <c r="E115" s="2">
        <v>15</v>
      </c>
      <c r="F115" s="2">
        <v>21</v>
      </c>
      <c r="G115" s="2">
        <v>36</v>
      </c>
      <c r="H115" s="2">
        <v>28</v>
      </c>
      <c r="I115" s="2"/>
      <c r="J115" s="2"/>
      <c r="K115" s="2">
        <v>62</v>
      </c>
      <c r="L115" s="2">
        <v>17</v>
      </c>
      <c r="M115" s="2">
        <v>16</v>
      </c>
      <c r="N115" s="2">
        <v>5</v>
      </c>
      <c r="O115" s="2">
        <v>1</v>
      </c>
    </row>
    <row r="116" spans="1:15" x14ac:dyDescent="0.3">
      <c r="A116" s="38" t="s">
        <v>241</v>
      </c>
      <c r="B116" s="38" t="s">
        <v>242</v>
      </c>
      <c r="C116" s="2">
        <v>47</v>
      </c>
      <c r="D116" s="2">
        <v>53</v>
      </c>
      <c r="E116" s="2">
        <v>10</v>
      </c>
      <c r="F116" s="2">
        <v>19</v>
      </c>
      <c r="G116" s="2">
        <v>41</v>
      </c>
      <c r="H116" s="2">
        <v>30</v>
      </c>
      <c r="I116" s="2"/>
      <c r="J116" s="2"/>
      <c r="K116" s="2">
        <v>26</v>
      </c>
      <c r="L116" s="2">
        <v>23</v>
      </c>
      <c r="M116" s="2">
        <v>14</v>
      </c>
      <c r="N116" s="2">
        <v>24</v>
      </c>
      <c r="O116" s="2">
        <v>12</v>
      </c>
    </row>
    <row r="117" spans="1:15" x14ac:dyDescent="0.3">
      <c r="A117" s="38" t="s">
        <v>243</v>
      </c>
      <c r="B117" s="38" t="s">
        <v>244</v>
      </c>
      <c r="C117" s="2">
        <v>55</v>
      </c>
      <c r="D117" s="2">
        <v>45</v>
      </c>
      <c r="E117" s="2">
        <v>13</v>
      </c>
      <c r="F117" s="2">
        <v>25</v>
      </c>
      <c r="G117" s="2">
        <v>34</v>
      </c>
      <c r="H117" s="2">
        <v>28</v>
      </c>
      <c r="I117" s="2"/>
      <c r="J117" s="2"/>
      <c r="K117" s="2">
        <v>13</v>
      </c>
      <c r="L117" s="2">
        <v>26</v>
      </c>
      <c r="M117" s="2">
        <v>16</v>
      </c>
      <c r="N117" s="2">
        <v>16</v>
      </c>
      <c r="O117" s="2">
        <v>29</v>
      </c>
    </row>
    <row r="118" spans="1:15" x14ac:dyDescent="0.3">
      <c r="A118" s="38" t="s">
        <v>245</v>
      </c>
      <c r="B118" s="38" t="s">
        <v>246</v>
      </c>
      <c r="C118" s="2">
        <v>54</v>
      </c>
      <c r="D118" s="2">
        <v>46</v>
      </c>
      <c r="E118" s="2">
        <v>10</v>
      </c>
      <c r="F118" s="2">
        <v>21</v>
      </c>
      <c r="G118" s="2">
        <v>36</v>
      </c>
      <c r="H118" s="2">
        <v>32</v>
      </c>
      <c r="I118" s="2"/>
      <c r="J118" s="2"/>
      <c r="K118" s="2">
        <v>30</v>
      </c>
      <c r="L118" s="2">
        <v>30</v>
      </c>
      <c r="M118" s="2">
        <v>14</v>
      </c>
      <c r="N118" s="2">
        <v>14</v>
      </c>
      <c r="O118" s="2">
        <v>13</v>
      </c>
    </row>
    <row r="119" spans="1:15" x14ac:dyDescent="0.3">
      <c r="A119" s="38" t="s">
        <v>247</v>
      </c>
      <c r="B119" s="38" t="s">
        <v>248</v>
      </c>
      <c r="C119" s="2">
        <v>47</v>
      </c>
      <c r="D119" s="2">
        <v>53</v>
      </c>
      <c r="E119" s="2">
        <v>6</v>
      </c>
      <c r="F119" s="2">
        <v>17</v>
      </c>
      <c r="G119" s="2">
        <v>41</v>
      </c>
      <c r="H119" s="2">
        <v>37</v>
      </c>
      <c r="I119" s="2"/>
      <c r="J119" s="2"/>
      <c r="K119" s="2">
        <v>0</v>
      </c>
      <c r="L119" s="2">
        <v>10</v>
      </c>
      <c r="M119" s="2">
        <v>13</v>
      </c>
      <c r="N119" s="2">
        <v>29</v>
      </c>
      <c r="O119" s="2">
        <v>49</v>
      </c>
    </row>
    <row r="120" spans="1:15" x14ac:dyDescent="0.3">
      <c r="A120" s="38" t="s">
        <v>249</v>
      </c>
      <c r="B120" s="38" t="s">
        <v>250</v>
      </c>
      <c r="C120" s="2">
        <v>53</v>
      </c>
      <c r="D120" s="2">
        <v>47</v>
      </c>
      <c r="E120" s="2">
        <v>16</v>
      </c>
      <c r="F120" s="2">
        <v>23</v>
      </c>
      <c r="G120" s="2">
        <v>38</v>
      </c>
      <c r="H120" s="2">
        <v>23</v>
      </c>
      <c r="I120" s="2"/>
      <c r="J120" s="2"/>
      <c r="K120" s="2">
        <v>37</v>
      </c>
      <c r="L120" s="2">
        <v>18</v>
      </c>
      <c r="M120" s="2">
        <v>13</v>
      </c>
      <c r="N120" s="2">
        <v>15</v>
      </c>
      <c r="O120" s="2">
        <v>17</v>
      </c>
    </row>
    <row r="121" spans="1:15" x14ac:dyDescent="0.3">
      <c r="A121" s="38" t="s">
        <v>251</v>
      </c>
      <c r="B121" s="38" t="s">
        <v>252</v>
      </c>
      <c r="C121" s="2">
        <v>49</v>
      </c>
      <c r="D121" s="2">
        <v>51</v>
      </c>
      <c r="E121" s="2">
        <v>9</v>
      </c>
      <c r="F121" s="2">
        <v>19</v>
      </c>
      <c r="G121" s="2">
        <v>34</v>
      </c>
      <c r="H121" s="2">
        <v>38</v>
      </c>
      <c r="I121" s="2"/>
      <c r="J121" s="2"/>
      <c r="K121" s="2">
        <v>6</v>
      </c>
      <c r="L121" s="2">
        <v>19</v>
      </c>
      <c r="M121" s="2">
        <v>25</v>
      </c>
      <c r="N121" s="2">
        <v>32</v>
      </c>
      <c r="O121" s="2">
        <v>18</v>
      </c>
    </row>
    <row r="122" spans="1:15" x14ac:dyDescent="0.3">
      <c r="A122" s="38" t="s">
        <v>253</v>
      </c>
      <c r="B122" s="38" t="s">
        <v>254</v>
      </c>
      <c r="C122" s="2">
        <v>53</v>
      </c>
      <c r="D122" s="2">
        <v>47</v>
      </c>
      <c r="E122" s="2">
        <v>21</v>
      </c>
      <c r="F122" s="2">
        <v>25</v>
      </c>
      <c r="G122" s="2">
        <v>31</v>
      </c>
      <c r="H122" s="2">
        <v>23</v>
      </c>
      <c r="I122" s="2"/>
      <c r="J122" s="2"/>
      <c r="K122" s="2">
        <v>20</v>
      </c>
      <c r="L122" s="2">
        <v>26</v>
      </c>
      <c r="M122" s="2">
        <v>26</v>
      </c>
      <c r="N122" s="2">
        <v>13</v>
      </c>
      <c r="O122" s="2">
        <v>15</v>
      </c>
    </row>
    <row r="123" spans="1:15" x14ac:dyDescent="0.3">
      <c r="A123" s="38" t="s">
        <v>255</v>
      </c>
      <c r="B123" s="38" t="s">
        <v>306</v>
      </c>
      <c r="C123" s="2">
        <v>49</v>
      </c>
      <c r="D123" s="2">
        <v>51</v>
      </c>
      <c r="E123" s="2">
        <v>10</v>
      </c>
      <c r="F123" s="2">
        <v>17</v>
      </c>
      <c r="G123" s="2">
        <v>42</v>
      </c>
      <c r="H123" s="2">
        <v>31</v>
      </c>
      <c r="I123" s="2"/>
      <c r="J123" s="2"/>
      <c r="K123" s="2">
        <v>7</v>
      </c>
      <c r="L123" s="2">
        <v>11</v>
      </c>
      <c r="M123" s="2">
        <v>29</v>
      </c>
      <c r="N123" s="2">
        <v>31</v>
      </c>
      <c r="O123" s="2">
        <v>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BC22"/>
  <sheetViews>
    <sheetView workbookViewId="0">
      <selection activeCell="I1" sqref="I1:J1048576"/>
    </sheetView>
  </sheetViews>
  <sheetFormatPr defaultRowHeight="14.4" x14ac:dyDescent="0.3"/>
  <cols>
    <col min="1" max="1" width="14.44140625" customWidth="1"/>
    <col min="2" max="2" width="39" bestFit="1" customWidth="1"/>
    <col min="16" max="16" width="10.109375" customWidth="1"/>
    <col min="17" max="19" width="7.109375" customWidth="1"/>
    <col min="20" max="20" width="10.33203125" customWidth="1"/>
    <col min="21" max="21" width="12.109375" customWidth="1"/>
    <col min="22" max="23" width="9.109375" customWidth="1"/>
    <col min="24" max="24" width="9.109375" style="4" customWidth="1"/>
    <col min="25" max="25" width="12.33203125" customWidth="1"/>
    <col min="26" max="26" width="6.5546875" customWidth="1"/>
    <col min="27" max="27" width="10.5546875" customWidth="1"/>
    <col min="28" max="28" width="7.5546875" customWidth="1"/>
    <col min="29" max="29" width="14.6640625" customWidth="1"/>
    <col min="30" max="30" width="8.5546875" customWidth="1"/>
    <col min="31" max="31" width="8.6640625" customWidth="1"/>
    <col min="32" max="32" width="9.5546875" customWidth="1"/>
    <col min="33" max="33" width="12.44140625" customWidth="1"/>
    <col min="34" max="35" width="5.109375" customWidth="1"/>
    <col min="36" max="37" width="6.109375" customWidth="1"/>
    <col min="38" max="38" width="5.109375" customWidth="1"/>
    <col min="39" max="39" width="12.44140625" customWidth="1"/>
    <col min="40" max="41" width="7.109375" customWidth="1"/>
    <col min="42" max="43" width="8.109375" customWidth="1"/>
    <col min="44" max="44" width="7.109375" customWidth="1"/>
    <col min="45" max="49" width="6.109375" customWidth="1"/>
    <col min="50" max="50" width="13.44140625" customWidth="1"/>
    <col min="51" max="55" width="8.109375" customWidth="1"/>
    <col min="56" max="59" width="23.6640625" customWidth="1"/>
    <col min="60" max="60" width="31" customWidth="1"/>
  </cols>
  <sheetData>
    <row r="1" spans="1:55" x14ac:dyDescent="0.3">
      <c r="A1" s="19" t="s">
        <v>0</v>
      </c>
      <c r="B1" s="19" t="s">
        <v>1</v>
      </c>
      <c r="C1" t="s">
        <v>467</v>
      </c>
      <c r="D1" t="s">
        <v>468</v>
      </c>
      <c r="E1" t="s">
        <v>469</v>
      </c>
      <c r="F1" t="s">
        <v>470</v>
      </c>
      <c r="G1" t="s">
        <v>471</v>
      </c>
      <c r="H1" t="s">
        <v>472</v>
      </c>
      <c r="K1" t="s">
        <v>304</v>
      </c>
      <c r="L1" t="s">
        <v>301</v>
      </c>
      <c r="M1" t="s">
        <v>302</v>
      </c>
      <c r="N1" t="s">
        <v>303</v>
      </c>
      <c r="O1" t="s">
        <v>300</v>
      </c>
      <c r="X1"/>
      <c r="AI1" s="19"/>
      <c r="AJ1" s="19"/>
      <c r="AK1" s="19"/>
      <c r="AL1" s="19"/>
      <c r="AM1" s="19"/>
      <c r="AN1" s="19"/>
      <c r="AO1" s="19"/>
      <c r="AP1" s="19"/>
      <c r="AQ1" s="19"/>
      <c r="AR1" s="19"/>
      <c r="AS1" s="19"/>
      <c r="AT1" s="19"/>
      <c r="AU1" s="19"/>
      <c r="AV1" s="19"/>
      <c r="AW1" s="19"/>
      <c r="AX1" s="19"/>
      <c r="AY1" s="19"/>
      <c r="AZ1" s="19"/>
      <c r="BA1" s="19"/>
      <c r="BB1" s="19"/>
      <c r="BC1" s="19"/>
    </row>
    <row r="2" spans="1:55" x14ac:dyDescent="0.3">
      <c r="A2" s="58" t="s">
        <v>3</v>
      </c>
      <c r="B2" s="58" t="s">
        <v>4</v>
      </c>
      <c r="C2" s="2">
        <v>53</v>
      </c>
      <c r="D2" s="2">
        <v>47</v>
      </c>
      <c r="E2" s="2">
        <v>13</v>
      </c>
      <c r="F2" s="2">
        <v>20</v>
      </c>
      <c r="G2" s="2">
        <v>37</v>
      </c>
      <c r="H2" s="2">
        <v>30</v>
      </c>
      <c r="I2" s="2"/>
      <c r="J2" s="2"/>
      <c r="K2" s="2">
        <v>35</v>
      </c>
      <c r="L2" s="2">
        <v>14</v>
      </c>
      <c r="M2" s="2">
        <v>15</v>
      </c>
      <c r="N2" s="2">
        <v>17</v>
      </c>
      <c r="O2" s="2">
        <v>19</v>
      </c>
      <c r="P2" s="2"/>
      <c r="Q2" s="2"/>
      <c r="R2" s="2"/>
      <c r="S2" s="2"/>
      <c r="T2" s="2"/>
      <c r="U2" s="2"/>
      <c r="V2" s="2"/>
      <c r="W2" s="2"/>
      <c r="X2" s="2"/>
      <c r="Y2" s="2"/>
      <c r="Z2" s="2"/>
      <c r="AA2" s="2"/>
      <c r="AB2" s="2"/>
      <c r="AC2" s="2"/>
      <c r="AD2" s="2"/>
      <c r="AE2" s="2"/>
      <c r="AF2" s="2"/>
      <c r="AG2" s="2"/>
      <c r="AH2" s="2"/>
      <c r="AI2" s="83"/>
      <c r="AJ2" s="83"/>
      <c r="AK2" s="83"/>
      <c r="AL2" s="83"/>
      <c r="AM2" s="83"/>
      <c r="AN2" s="83"/>
      <c r="AO2" s="83"/>
      <c r="AP2" s="83"/>
      <c r="AQ2" s="83"/>
      <c r="AR2" s="83"/>
      <c r="AS2" s="83"/>
      <c r="AT2" s="83"/>
      <c r="AU2" s="83"/>
      <c r="AV2" s="83"/>
      <c r="AW2" s="83"/>
      <c r="AX2" s="83"/>
      <c r="AY2" s="83"/>
      <c r="AZ2" s="83"/>
      <c r="BA2" s="83"/>
      <c r="BB2" s="83"/>
      <c r="BC2" s="83"/>
    </row>
    <row r="3" spans="1:55" x14ac:dyDescent="0.3">
      <c r="A3" s="59" t="s">
        <v>5</v>
      </c>
      <c r="B3" s="59" t="s">
        <v>6</v>
      </c>
      <c r="C3" s="2">
        <v>50</v>
      </c>
      <c r="D3" s="2">
        <v>50</v>
      </c>
      <c r="E3" s="2">
        <v>14</v>
      </c>
      <c r="F3" s="2">
        <v>22</v>
      </c>
      <c r="G3" s="2">
        <v>37</v>
      </c>
      <c r="H3" s="2">
        <v>27</v>
      </c>
      <c r="I3" s="2"/>
      <c r="J3" s="2"/>
      <c r="K3" s="2">
        <v>15</v>
      </c>
      <c r="L3" s="2">
        <v>18</v>
      </c>
      <c r="M3" s="2">
        <v>19</v>
      </c>
      <c r="N3" s="2">
        <v>24</v>
      </c>
      <c r="O3" s="2">
        <v>24</v>
      </c>
      <c r="P3" s="2"/>
      <c r="Q3" s="2"/>
      <c r="R3" s="2"/>
      <c r="S3" s="2"/>
      <c r="T3" s="2"/>
      <c r="U3" s="2"/>
      <c r="V3" s="2"/>
      <c r="W3" s="2"/>
      <c r="X3" s="2"/>
      <c r="Y3" s="2"/>
      <c r="Z3" s="2"/>
      <c r="AA3" s="2"/>
      <c r="AB3" s="2"/>
      <c r="AC3" s="2"/>
      <c r="AD3" s="2"/>
      <c r="AE3" s="2"/>
      <c r="AF3" s="2"/>
      <c r="AG3" s="2"/>
      <c r="AH3" s="2"/>
      <c r="AI3" s="84"/>
      <c r="AJ3" s="84"/>
      <c r="AK3" s="84"/>
      <c r="AL3" s="84"/>
      <c r="AM3" s="84"/>
      <c r="AN3" s="84"/>
      <c r="AO3" s="84"/>
      <c r="AP3" s="84"/>
      <c r="AQ3" s="84"/>
      <c r="AR3" s="84"/>
      <c r="AS3" s="84"/>
      <c r="AT3" s="84"/>
      <c r="AU3" s="84"/>
      <c r="AV3" s="84"/>
      <c r="AW3" s="84"/>
      <c r="AX3" s="84"/>
      <c r="AY3" s="84"/>
      <c r="AZ3" s="84"/>
      <c r="BA3" s="84"/>
      <c r="BB3" s="84"/>
      <c r="BC3" s="84"/>
    </row>
    <row r="4" spans="1:55" x14ac:dyDescent="0.3">
      <c r="A4" s="60" t="s">
        <v>7</v>
      </c>
      <c r="B4" s="60" t="s">
        <v>8</v>
      </c>
      <c r="C4" s="2">
        <v>51</v>
      </c>
      <c r="D4" s="2">
        <v>49</v>
      </c>
      <c r="E4" s="2">
        <v>15</v>
      </c>
      <c r="F4" s="2">
        <v>22</v>
      </c>
      <c r="G4" s="2">
        <v>34</v>
      </c>
      <c r="H4" s="2">
        <v>29</v>
      </c>
      <c r="I4" s="2"/>
      <c r="J4" s="2"/>
      <c r="K4" s="2">
        <v>10</v>
      </c>
      <c r="L4" s="2">
        <v>16</v>
      </c>
      <c r="M4" s="2">
        <v>33</v>
      </c>
      <c r="N4" s="2">
        <v>22</v>
      </c>
      <c r="O4" s="2">
        <v>19</v>
      </c>
      <c r="P4" s="2"/>
      <c r="Q4" s="2"/>
      <c r="R4" s="2"/>
      <c r="S4" s="2"/>
      <c r="T4" s="2"/>
      <c r="U4" s="2"/>
      <c r="V4" s="2"/>
      <c r="W4" s="2"/>
      <c r="X4" s="2"/>
      <c r="Y4" s="2"/>
      <c r="Z4" s="2"/>
      <c r="AA4" s="2"/>
      <c r="AB4" s="2"/>
      <c r="AC4" s="2"/>
      <c r="AD4" s="2"/>
      <c r="AE4" s="2"/>
      <c r="AF4" s="2"/>
      <c r="AG4" s="2"/>
      <c r="AH4" s="2"/>
      <c r="AI4" s="84"/>
      <c r="AJ4" s="84"/>
      <c r="AK4" s="84"/>
      <c r="AL4" s="84"/>
      <c r="AM4" s="84"/>
      <c r="AN4" s="84"/>
      <c r="AO4" s="84"/>
      <c r="AP4" s="84"/>
      <c r="AQ4" s="84"/>
      <c r="AR4" s="84"/>
      <c r="AS4" s="84"/>
      <c r="AT4" s="84"/>
      <c r="AU4" s="84"/>
      <c r="AV4" s="84"/>
      <c r="AW4" s="84"/>
      <c r="AX4" s="84"/>
      <c r="AY4" s="84"/>
      <c r="AZ4" s="84"/>
      <c r="BA4" s="84"/>
      <c r="BB4" s="84"/>
      <c r="BC4" s="84"/>
    </row>
    <row r="5" spans="1:55" x14ac:dyDescent="0.3">
      <c r="A5" s="59" t="s">
        <v>9</v>
      </c>
      <c r="B5" s="59" t="s">
        <v>10</v>
      </c>
      <c r="C5" s="2">
        <v>51</v>
      </c>
      <c r="D5" s="2">
        <v>49</v>
      </c>
      <c r="E5" s="2">
        <v>14</v>
      </c>
      <c r="F5" s="2">
        <v>19</v>
      </c>
      <c r="G5" s="2">
        <v>34</v>
      </c>
      <c r="H5" s="2">
        <v>33</v>
      </c>
      <c r="I5" s="2"/>
      <c r="J5" s="2"/>
      <c r="K5" s="2">
        <v>8</v>
      </c>
      <c r="L5" s="2">
        <v>16</v>
      </c>
      <c r="M5" s="2">
        <v>20</v>
      </c>
      <c r="N5" s="2">
        <v>24</v>
      </c>
      <c r="O5" s="2">
        <v>32</v>
      </c>
      <c r="P5" s="2"/>
      <c r="Q5" s="2"/>
      <c r="R5" s="2"/>
      <c r="S5" s="2"/>
      <c r="T5" s="2"/>
      <c r="U5" s="2"/>
      <c r="V5" s="2"/>
      <c r="W5" s="2"/>
      <c r="X5" s="2"/>
      <c r="Y5" s="2"/>
      <c r="Z5" s="2"/>
      <c r="AA5" s="2"/>
      <c r="AB5" s="2"/>
      <c r="AC5" s="2"/>
      <c r="AD5" s="2"/>
      <c r="AE5" s="2"/>
      <c r="AF5" s="2"/>
      <c r="AG5" s="2"/>
      <c r="AH5" s="2"/>
      <c r="AI5" s="84"/>
      <c r="AJ5" s="84"/>
      <c r="AK5" s="84"/>
      <c r="AL5" s="84"/>
      <c r="AM5" s="84"/>
      <c r="AN5" s="84"/>
      <c r="AO5" s="84"/>
      <c r="AP5" s="84"/>
      <c r="AQ5" s="84"/>
      <c r="AR5" s="84"/>
      <c r="AS5" s="84"/>
      <c r="AT5" s="84"/>
      <c r="AU5" s="84"/>
      <c r="AV5" s="84"/>
      <c r="AW5" s="84"/>
      <c r="AX5" s="84"/>
      <c r="AY5" s="84"/>
      <c r="AZ5" s="84"/>
      <c r="BA5" s="84"/>
      <c r="BB5" s="84"/>
      <c r="BC5" s="84"/>
    </row>
    <row r="6" spans="1:55" x14ac:dyDescent="0.3">
      <c r="A6" s="60" t="s">
        <v>11</v>
      </c>
      <c r="B6" s="60" t="s">
        <v>12</v>
      </c>
      <c r="C6" s="2">
        <v>52</v>
      </c>
      <c r="D6" s="2">
        <v>48</v>
      </c>
      <c r="E6" s="2">
        <v>14</v>
      </c>
      <c r="F6" s="2">
        <v>22</v>
      </c>
      <c r="G6" s="2">
        <v>37</v>
      </c>
      <c r="H6" s="2">
        <v>27</v>
      </c>
      <c r="I6" s="2"/>
      <c r="J6" s="2"/>
      <c r="K6" s="2">
        <v>32</v>
      </c>
      <c r="L6" s="2">
        <v>19</v>
      </c>
      <c r="M6" s="2">
        <v>14</v>
      </c>
      <c r="N6" s="2">
        <v>19</v>
      </c>
      <c r="O6" s="2">
        <v>17</v>
      </c>
      <c r="P6" s="2"/>
      <c r="Q6" s="2"/>
      <c r="R6" s="2"/>
      <c r="S6" s="2"/>
      <c r="T6" s="2"/>
      <c r="U6" s="2"/>
      <c r="V6" s="2"/>
      <c r="W6" s="2"/>
      <c r="X6" s="2"/>
      <c r="Y6" s="2"/>
      <c r="Z6" s="2"/>
      <c r="AA6" s="2"/>
      <c r="AB6" s="2"/>
      <c r="AC6" s="2"/>
      <c r="AD6" s="2"/>
      <c r="AE6" s="2"/>
      <c r="AF6" s="2"/>
      <c r="AG6" s="2"/>
      <c r="AH6" s="2"/>
      <c r="AI6" s="84"/>
      <c r="AJ6" s="84"/>
      <c r="AK6" s="84"/>
      <c r="AL6" s="84"/>
      <c r="AM6" s="84"/>
      <c r="AN6" s="84"/>
      <c r="AO6" s="84"/>
      <c r="AP6" s="84"/>
      <c r="AQ6" s="84"/>
      <c r="AR6" s="84"/>
      <c r="AS6" s="84"/>
      <c r="AT6" s="84"/>
      <c r="AU6" s="84"/>
      <c r="AV6" s="84"/>
      <c r="AW6" s="84"/>
      <c r="AX6" s="84"/>
      <c r="AY6" s="84"/>
      <c r="AZ6" s="84"/>
      <c r="BA6" s="84"/>
      <c r="BB6" s="84"/>
      <c r="BC6" s="84"/>
    </row>
    <row r="7" spans="1:55" x14ac:dyDescent="0.3">
      <c r="A7" s="59" t="s">
        <v>13</v>
      </c>
      <c r="B7" s="59" t="s">
        <v>524</v>
      </c>
      <c r="C7" s="2">
        <v>55</v>
      </c>
      <c r="D7" s="2">
        <v>45</v>
      </c>
      <c r="E7" s="2">
        <v>13</v>
      </c>
      <c r="F7" s="2">
        <v>24</v>
      </c>
      <c r="G7" s="2">
        <v>34</v>
      </c>
      <c r="H7" s="2">
        <v>29</v>
      </c>
      <c r="I7" s="2"/>
      <c r="J7" s="2"/>
      <c r="K7" s="2">
        <v>17</v>
      </c>
      <c r="L7" s="2">
        <v>19</v>
      </c>
      <c r="M7" s="2">
        <v>19</v>
      </c>
      <c r="N7" s="2">
        <v>21</v>
      </c>
      <c r="O7" s="2">
        <v>23</v>
      </c>
      <c r="P7" s="2"/>
      <c r="Q7" s="2"/>
      <c r="R7" s="2"/>
      <c r="S7" s="2"/>
      <c r="T7" s="2"/>
      <c r="U7" s="2"/>
      <c r="V7" s="2"/>
      <c r="W7" s="2"/>
      <c r="X7" s="2"/>
      <c r="Y7" s="2"/>
      <c r="Z7" s="2"/>
      <c r="AA7" s="2"/>
      <c r="AB7" s="2"/>
      <c r="AC7" s="2"/>
      <c r="AD7" s="2"/>
      <c r="AE7" s="2"/>
      <c r="AF7" s="2"/>
      <c r="AG7" s="2"/>
      <c r="AH7" s="2"/>
      <c r="AI7" s="84"/>
      <c r="AJ7" s="84"/>
      <c r="AK7" s="84"/>
      <c r="AL7" s="84"/>
      <c r="AM7" s="84"/>
      <c r="AN7" s="84"/>
      <c r="AO7" s="84"/>
      <c r="AP7" s="84"/>
      <c r="AQ7" s="84"/>
      <c r="AR7" s="84"/>
      <c r="AS7" s="84"/>
      <c r="AT7" s="84"/>
      <c r="AU7" s="84"/>
      <c r="AV7" s="84"/>
      <c r="AW7" s="84"/>
      <c r="AX7" s="84"/>
      <c r="AY7" s="84"/>
      <c r="AZ7" s="84"/>
      <c r="BA7" s="84"/>
      <c r="BB7" s="84"/>
      <c r="BC7" s="84"/>
    </row>
    <row r="8" spans="1:55" x14ac:dyDescent="0.3">
      <c r="A8" s="60" t="s">
        <v>15</v>
      </c>
      <c r="B8" s="60" t="s">
        <v>16</v>
      </c>
      <c r="C8" s="2">
        <v>51</v>
      </c>
      <c r="D8" s="2">
        <v>49</v>
      </c>
      <c r="E8" s="2">
        <v>11</v>
      </c>
      <c r="F8" s="2">
        <v>21</v>
      </c>
      <c r="G8" s="2">
        <v>36</v>
      </c>
      <c r="H8" s="2">
        <v>32</v>
      </c>
      <c r="I8" s="2"/>
      <c r="J8" s="2"/>
      <c r="K8" s="2">
        <v>12</v>
      </c>
      <c r="L8" s="2">
        <v>20</v>
      </c>
      <c r="M8" s="2">
        <v>25</v>
      </c>
      <c r="N8" s="2">
        <v>24</v>
      </c>
      <c r="O8" s="2">
        <v>19</v>
      </c>
      <c r="P8" s="2"/>
      <c r="Q8" s="2"/>
      <c r="R8" s="2"/>
      <c r="S8" s="2"/>
      <c r="T8" s="2"/>
      <c r="U8" s="2"/>
      <c r="V8" s="2"/>
      <c r="W8" s="2"/>
      <c r="X8" s="2"/>
      <c r="Y8" s="2"/>
      <c r="Z8" s="2"/>
      <c r="AA8" s="2"/>
      <c r="AB8" s="2"/>
      <c r="AC8" s="2"/>
      <c r="AD8" s="2"/>
      <c r="AE8" s="2"/>
      <c r="AF8" s="2"/>
      <c r="AG8" s="2"/>
      <c r="AH8" s="2"/>
      <c r="AI8" s="84"/>
      <c r="AJ8" s="84"/>
      <c r="AK8" s="84"/>
      <c r="AL8" s="84"/>
      <c r="AM8" s="84"/>
      <c r="AN8" s="84"/>
      <c r="AO8" s="84"/>
      <c r="AP8" s="84"/>
      <c r="AQ8" s="84"/>
      <c r="AR8" s="84"/>
      <c r="AS8" s="84"/>
      <c r="AT8" s="84"/>
      <c r="AU8" s="84"/>
      <c r="AV8" s="84"/>
      <c r="AW8" s="84"/>
      <c r="AX8" s="84"/>
      <c r="AY8" s="84"/>
      <c r="AZ8" s="84"/>
      <c r="BA8" s="84"/>
      <c r="BB8" s="84"/>
      <c r="BC8" s="84"/>
    </row>
    <row r="9" spans="1:55" x14ac:dyDescent="0.3">
      <c r="A9" s="59" t="s">
        <v>17</v>
      </c>
      <c r="B9" s="59" t="s">
        <v>18</v>
      </c>
      <c r="C9" s="2">
        <v>52</v>
      </c>
      <c r="D9" s="2">
        <v>48</v>
      </c>
      <c r="E9" s="2">
        <v>13</v>
      </c>
      <c r="F9" s="2">
        <v>23</v>
      </c>
      <c r="G9" s="2">
        <v>38</v>
      </c>
      <c r="H9" s="2">
        <v>26</v>
      </c>
      <c r="I9" s="2"/>
      <c r="J9" s="2"/>
      <c r="K9" s="2">
        <v>26</v>
      </c>
      <c r="L9" s="2">
        <v>20</v>
      </c>
      <c r="M9" s="2">
        <v>17</v>
      </c>
      <c r="N9" s="2">
        <v>18</v>
      </c>
      <c r="O9" s="2">
        <v>19</v>
      </c>
      <c r="P9" s="2"/>
      <c r="Q9" s="2"/>
      <c r="R9" s="2"/>
      <c r="S9" s="2"/>
      <c r="T9" s="2"/>
      <c r="U9" s="2"/>
      <c r="V9" s="2"/>
      <c r="W9" s="2"/>
      <c r="X9" s="2"/>
      <c r="Y9" s="2"/>
      <c r="Z9" s="2"/>
      <c r="AA9" s="2"/>
      <c r="AB9" s="2"/>
      <c r="AC9" s="2"/>
      <c r="AD9" s="2"/>
      <c r="AE9" s="2"/>
      <c r="AF9" s="2"/>
      <c r="AG9" s="2"/>
      <c r="AH9" s="2"/>
      <c r="AI9" s="84"/>
      <c r="AJ9" s="84"/>
      <c r="AK9" s="84"/>
      <c r="AL9" s="84"/>
      <c r="AM9" s="84"/>
      <c r="AN9" s="84"/>
      <c r="AO9" s="84"/>
      <c r="AP9" s="84"/>
      <c r="AQ9" s="84"/>
      <c r="AR9" s="84"/>
      <c r="AS9" s="84"/>
      <c r="AT9" s="84"/>
      <c r="AU9" s="84"/>
      <c r="AV9" s="84"/>
      <c r="AW9" s="84"/>
      <c r="AX9" s="84"/>
      <c r="AY9" s="84"/>
      <c r="AZ9" s="84"/>
      <c r="BA9" s="84"/>
      <c r="BB9" s="84"/>
      <c r="BC9" s="84"/>
    </row>
    <row r="10" spans="1:55" x14ac:dyDescent="0.3">
      <c r="A10" s="60" t="s">
        <v>19</v>
      </c>
      <c r="B10" s="60" t="s">
        <v>20</v>
      </c>
      <c r="C10" s="2">
        <v>51</v>
      </c>
      <c r="D10" s="2">
        <v>49</v>
      </c>
      <c r="E10" s="2">
        <v>19</v>
      </c>
      <c r="F10" s="2">
        <v>24</v>
      </c>
      <c r="G10" s="2">
        <v>32</v>
      </c>
      <c r="H10" s="2">
        <v>25</v>
      </c>
      <c r="I10" s="2"/>
      <c r="J10" s="2"/>
      <c r="K10" s="2">
        <v>16</v>
      </c>
      <c r="L10" s="2">
        <v>27</v>
      </c>
      <c r="M10" s="2">
        <v>23</v>
      </c>
      <c r="N10" s="2">
        <v>19</v>
      </c>
      <c r="O10" s="2">
        <v>15</v>
      </c>
      <c r="P10" s="2"/>
      <c r="Q10" s="2"/>
      <c r="R10" s="2"/>
      <c r="S10" s="2"/>
      <c r="T10" s="2"/>
      <c r="U10" s="2"/>
      <c r="V10" s="2"/>
      <c r="W10" s="2"/>
      <c r="X10" s="2"/>
      <c r="Y10" s="2"/>
      <c r="Z10" s="2"/>
      <c r="AA10" s="2"/>
      <c r="AB10" s="2"/>
      <c r="AC10" s="2"/>
      <c r="AD10" s="2"/>
      <c r="AE10" s="2"/>
      <c r="AF10" s="2"/>
      <c r="AG10" s="2"/>
      <c r="AH10" s="2"/>
      <c r="AI10" s="84"/>
      <c r="AJ10" s="84"/>
      <c r="AK10" s="84"/>
      <c r="AL10" s="84"/>
      <c r="AM10" s="84"/>
      <c r="AN10" s="84"/>
      <c r="AO10" s="84"/>
      <c r="AP10" s="84"/>
      <c r="AQ10" s="84"/>
      <c r="AR10" s="84"/>
      <c r="AS10" s="84"/>
      <c r="AT10" s="84"/>
      <c r="AU10" s="84"/>
      <c r="AV10" s="84"/>
      <c r="AW10" s="84"/>
      <c r="AX10" s="84"/>
      <c r="AY10" s="84"/>
      <c r="AZ10" s="84"/>
      <c r="BA10" s="84"/>
      <c r="BB10" s="84"/>
      <c r="BC10" s="84"/>
    </row>
    <row r="11" spans="1:55" x14ac:dyDescent="0.3">
      <c r="A11" s="59" t="s">
        <v>21</v>
      </c>
      <c r="B11" s="59" t="s">
        <v>22</v>
      </c>
      <c r="C11" s="2">
        <v>51</v>
      </c>
      <c r="D11" s="2">
        <v>49</v>
      </c>
      <c r="E11" s="2">
        <v>18</v>
      </c>
      <c r="F11" s="2">
        <v>25</v>
      </c>
      <c r="G11" s="2">
        <v>34</v>
      </c>
      <c r="H11" s="2">
        <v>23</v>
      </c>
      <c r="I11" s="2"/>
      <c r="J11" s="2"/>
      <c r="K11" s="2">
        <v>18</v>
      </c>
      <c r="L11" s="2">
        <v>35</v>
      </c>
      <c r="M11" s="2">
        <v>22</v>
      </c>
      <c r="N11" s="2">
        <v>15</v>
      </c>
      <c r="O11" s="2">
        <v>10</v>
      </c>
      <c r="P11" s="2"/>
      <c r="Q11" s="2"/>
      <c r="R11" s="2"/>
      <c r="S11" s="2"/>
      <c r="T11" s="2"/>
      <c r="U11" s="2"/>
      <c r="V11" s="2"/>
      <c r="W11" s="2"/>
      <c r="X11" s="2"/>
      <c r="Y11" s="2"/>
      <c r="Z11" s="2"/>
      <c r="AA11" s="2"/>
      <c r="AB11" s="2"/>
      <c r="AC11" s="2"/>
      <c r="AD11" s="2"/>
      <c r="AE11" s="2"/>
      <c r="AF11" s="2"/>
      <c r="AG11" s="2"/>
      <c r="AH11" s="2"/>
      <c r="AI11" s="84"/>
      <c r="AJ11" s="84"/>
      <c r="AK11" s="84"/>
      <c r="AL11" s="84"/>
      <c r="AM11" s="84"/>
      <c r="AN11" s="84"/>
      <c r="AO11" s="84"/>
      <c r="AP11" s="84"/>
      <c r="AQ11" s="84"/>
      <c r="AR11" s="84"/>
      <c r="AS11" s="84"/>
      <c r="AT11" s="84"/>
      <c r="AU11" s="84"/>
      <c r="AV11" s="84"/>
      <c r="AW11" s="84"/>
      <c r="AX11" s="84"/>
      <c r="AY11" s="84"/>
      <c r="AZ11" s="84"/>
      <c r="BA11" s="84"/>
      <c r="BB11" s="84"/>
      <c r="BC11" s="84"/>
    </row>
    <row r="12" spans="1:55" x14ac:dyDescent="0.3">
      <c r="A12" s="60" t="s">
        <v>23</v>
      </c>
      <c r="B12" s="60" t="s">
        <v>24</v>
      </c>
      <c r="C12" s="2">
        <v>53</v>
      </c>
      <c r="D12" s="2">
        <v>47</v>
      </c>
      <c r="E12" s="2">
        <v>13</v>
      </c>
      <c r="F12" s="2">
        <v>26</v>
      </c>
      <c r="G12" s="2">
        <v>32</v>
      </c>
      <c r="H12" s="2">
        <v>29</v>
      </c>
      <c r="I12" s="2"/>
      <c r="J12" s="2"/>
      <c r="K12" s="2">
        <v>28</v>
      </c>
      <c r="L12" s="2">
        <v>22</v>
      </c>
      <c r="M12" s="2">
        <v>16</v>
      </c>
      <c r="N12" s="2">
        <v>18</v>
      </c>
      <c r="O12" s="2">
        <v>16</v>
      </c>
      <c r="P12" s="2"/>
      <c r="Q12" s="2"/>
      <c r="R12" s="2"/>
      <c r="S12" s="2"/>
      <c r="T12" s="2"/>
      <c r="U12" s="2"/>
      <c r="V12" s="2"/>
      <c r="W12" s="2"/>
      <c r="X12" s="2"/>
      <c r="Y12" s="2"/>
      <c r="Z12" s="2"/>
      <c r="AA12" s="2"/>
      <c r="AB12" s="2"/>
      <c r="AC12" s="2"/>
      <c r="AD12" s="2"/>
      <c r="AE12" s="2"/>
      <c r="AF12" s="2"/>
      <c r="AG12" s="2"/>
      <c r="AH12" s="2"/>
      <c r="AI12" s="84"/>
      <c r="AJ12" s="84"/>
      <c r="AK12" s="84"/>
      <c r="AL12" s="84"/>
      <c r="AM12" s="84"/>
      <c r="AN12" s="84"/>
      <c r="AO12" s="84"/>
      <c r="AP12" s="84"/>
      <c r="AQ12" s="84"/>
      <c r="AR12" s="84"/>
      <c r="AS12" s="84"/>
      <c r="AT12" s="84"/>
      <c r="AU12" s="84"/>
      <c r="AV12" s="84"/>
      <c r="AW12" s="84"/>
      <c r="AX12" s="84"/>
      <c r="AY12" s="84"/>
      <c r="AZ12" s="84"/>
      <c r="BA12" s="84"/>
      <c r="BB12" s="84"/>
      <c r="BC12" s="84"/>
    </row>
    <row r="13" spans="1:55" x14ac:dyDescent="0.3">
      <c r="A13" s="59" t="s">
        <v>25</v>
      </c>
      <c r="B13" s="59" t="s">
        <v>59</v>
      </c>
      <c r="C13" s="2">
        <v>51</v>
      </c>
      <c r="D13" s="2">
        <v>49</v>
      </c>
      <c r="E13" s="2">
        <v>11</v>
      </c>
      <c r="F13" s="2">
        <v>24</v>
      </c>
      <c r="G13" s="2">
        <v>33</v>
      </c>
      <c r="H13" s="2">
        <v>33</v>
      </c>
      <c r="I13" s="2"/>
      <c r="J13" s="2"/>
      <c r="K13" s="2">
        <v>11</v>
      </c>
      <c r="L13" s="2">
        <v>28</v>
      </c>
      <c r="M13" s="2">
        <v>30</v>
      </c>
      <c r="N13" s="2">
        <v>20</v>
      </c>
      <c r="O13" s="2">
        <v>10</v>
      </c>
      <c r="P13" s="2"/>
      <c r="Q13" s="2"/>
      <c r="R13" s="2"/>
      <c r="S13" s="2"/>
      <c r="T13" s="2"/>
      <c r="U13" s="2"/>
      <c r="V13" s="2"/>
      <c r="W13" s="2"/>
      <c r="X13" s="2"/>
      <c r="Y13" s="2"/>
      <c r="Z13" s="2"/>
      <c r="AA13" s="2"/>
      <c r="AB13" s="2"/>
      <c r="AC13" s="2"/>
      <c r="AD13" s="2"/>
      <c r="AE13" s="2"/>
      <c r="AF13" s="2"/>
      <c r="AG13" s="2"/>
      <c r="AH13" s="2"/>
      <c r="AI13" s="84"/>
      <c r="AJ13" s="84"/>
      <c r="AK13" s="84"/>
      <c r="AL13" s="84"/>
      <c r="AM13" s="84"/>
      <c r="AN13" s="84"/>
      <c r="AO13" s="84"/>
      <c r="AP13" s="84"/>
      <c r="AQ13" s="84"/>
      <c r="AR13" s="84"/>
      <c r="AS13" s="84"/>
      <c r="AT13" s="84"/>
      <c r="AU13" s="84"/>
      <c r="AV13" s="84"/>
      <c r="AW13" s="84"/>
      <c r="AX13" s="84"/>
      <c r="AY13" s="84"/>
      <c r="AZ13" s="84"/>
      <c r="BA13" s="84"/>
      <c r="BB13" s="84"/>
      <c r="BC13" s="84"/>
    </row>
    <row r="14" spans="1:55" x14ac:dyDescent="0.3">
      <c r="A14" s="60" t="s">
        <v>38</v>
      </c>
      <c r="B14" s="60" t="s">
        <v>515</v>
      </c>
      <c r="C14" s="2">
        <v>52</v>
      </c>
      <c r="D14" s="2">
        <v>48</v>
      </c>
      <c r="E14" s="2">
        <v>18</v>
      </c>
      <c r="F14" s="2">
        <v>24</v>
      </c>
      <c r="G14" s="2">
        <v>32</v>
      </c>
      <c r="H14" s="2">
        <v>27</v>
      </c>
      <c r="I14" s="2"/>
      <c r="J14" s="2"/>
      <c r="K14" s="2">
        <v>11</v>
      </c>
      <c r="L14" s="2">
        <v>21</v>
      </c>
      <c r="M14" s="2">
        <v>23</v>
      </c>
      <c r="N14" s="2">
        <v>22</v>
      </c>
      <c r="O14" s="2">
        <v>23</v>
      </c>
      <c r="P14" s="2"/>
      <c r="Q14" s="2"/>
      <c r="R14" s="2"/>
      <c r="S14" s="2"/>
      <c r="T14" s="2"/>
      <c r="U14" s="2"/>
      <c r="V14" s="2"/>
      <c r="W14" s="2"/>
      <c r="X14" s="2"/>
      <c r="Y14" s="2"/>
      <c r="Z14" s="2"/>
      <c r="AA14" s="2"/>
      <c r="AB14" s="2"/>
      <c r="AC14" s="2"/>
      <c r="AD14" s="2"/>
      <c r="AE14" s="2"/>
      <c r="AF14" s="2"/>
      <c r="AG14" s="2"/>
      <c r="AH14" s="2"/>
      <c r="AI14" s="84"/>
      <c r="AJ14" s="84"/>
      <c r="AK14" s="84"/>
      <c r="AL14" s="84"/>
      <c r="AM14" s="84"/>
      <c r="AN14" s="84"/>
      <c r="AO14" s="84"/>
      <c r="AP14" s="84"/>
      <c r="AQ14" s="84"/>
      <c r="AR14" s="84"/>
      <c r="AS14" s="84"/>
      <c r="AT14" s="84"/>
      <c r="AU14" s="84"/>
      <c r="AV14" s="84"/>
      <c r="AW14" s="84"/>
      <c r="AX14" s="84"/>
      <c r="AY14" s="84"/>
      <c r="AZ14" s="84"/>
      <c r="BA14" s="84"/>
      <c r="BB14" s="84"/>
      <c r="BC14" s="84"/>
    </row>
    <row r="15" spans="1:55" x14ac:dyDescent="0.3">
      <c r="A15" s="60" t="s">
        <v>26</v>
      </c>
      <c r="B15" s="60" t="s">
        <v>521</v>
      </c>
      <c r="C15" s="2">
        <v>52</v>
      </c>
      <c r="D15" s="2">
        <v>48</v>
      </c>
      <c r="E15" s="2">
        <v>14</v>
      </c>
      <c r="F15" s="2">
        <v>18</v>
      </c>
      <c r="G15" s="2">
        <v>38</v>
      </c>
      <c r="H15" s="2">
        <v>31</v>
      </c>
      <c r="I15" s="2"/>
      <c r="J15" s="2"/>
      <c r="K15" s="2">
        <v>8</v>
      </c>
      <c r="L15" s="2">
        <v>15</v>
      </c>
      <c r="M15" s="2">
        <v>26</v>
      </c>
      <c r="N15" s="2">
        <v>24</v>
      </c>
      <c r="O15" s="2">
        <v>26</v>
      </c>
      <c r="P15" s="2"/>
      <c r="Q15" s="2"/>
      <c r="R15" s="2"/>
      <c r="S15" s="2"/>
      <c r="T15" s="2"/>
      <c r="U15" s="2"/>
      <c r="V15" s="2"/>
      <c r="W15" s="2"/>
      <c r="X15" s="2"/>
      <c r="Y15" s="2"/>
      <c r="Z15" s="2"/>
      <c r="AA15" s="2"/>
      <c r="AB15" s="2"/>
      <c r="AC15" s="2"/>
      <c r="AD15" s="2"/>
      <c r="AE15" s="2"/>
      <c r="AF15" s="2"/>
      <c r="AG15" s="2"/>
      <c r="AH15" s="2"/>
      <c r="AI15" s="84"/>
      <c r="AJ15" s="84"/>
      <c r="AK15" s="84"/>
      <c r="AL15" s="84"/>
      <c r="AM15" s="84"/>
      <c r="AN15" s="84"/>
      <c r="AO15" s="84"/>
      <c r="AP15" s="84"/>
      <c r="AQ15" s="84"/>
      <c r="AR15" s="84"/>
      <c r="AS15" s="84"/>
      <c r="AT15" s="84"/>
      <c r="AU15" s="84"/>
      <c r="AV15" s="84"/>
      <c r="AW15" s="84"/>
      <c r="AX15" s="84"/>
      <c r="AY15" s="84"/>
      <c r="AZ15" s="84"/>
      <c r="BA15" s="84"/>
      <c r="BB15" s="84"/>
      <c r="BC15" s="84"/>
    </row>
    <row r="16" spans="1:55" x14ac:dyDescent="0.3">
      <c r="A16" s="59" t="s">
        <v>28</v>
      </c>
      <c r="B16" s="59" t="s">
        <v>29</v>
      </c>
      <c r="C16" s="2">
        <v>52</v>
      </c>
      <c r="D16" s="2">
        <v>48</v>
      </c>
      <c r="E16" s="2">
        <v>21</v>
      </c>
      <c r="F16" s="2">
        <v>28</v>
      </c>
      <c r="G16" s="2">
        <v>31</v>
      </c>
      <c r="H16" s="2">
        <v>21</v>
      </c>
      <c r="I16" s="2"/>
      <c r="J16" s="2"/>
      <c r="K16" s="2">
        <v>16</v>
      </c>
      <c r="L16" s="2">
        <v>29</v>
      </c>
      <c r="M16" s="2">
        <v>19</v>
      </c>
      <c r="N16" s="2">
        <v>19</v>
      </c>
      <c r="O16" s="2">
        <v>17</v>
      </c>
      <c r="P16" s="2"/>
      <c r="Q16" s="2"/>
      <c r="R16" s="2"/>
      <c r="S16" s="2"/>
      <c r="T16" s="2"/>
      <c r="U16" s="2"/>
      <c r="V16" s="2"/>
      <c r="W16" s="2"/>
      <c r="X16" s="2"/>
      <c r="Y16" s="2"/>
      <c r="Z16" s="2"/>
      <c r="AA16" s="2"/>
      <c r="AB16" s="2"/>
      <c r="AC16" s="2"/>
      <c r="AD16" s="2"/>
      <c r="AE16" s="2"/>
      <c r="AF16" s="2"/>
      <c r="AG16" s="2"/>
      <c r="AH16" s="2"/>
      <c r="AI16" s="84"/>
      <c r="AJ16" s="84"/>
      <c r="AK16" s="84"/>
      <c r="AL16" s="84"/>
      <c r="AM16" s="84"/>
      <c r="AN16" s="84"/>
      <c r="AO16" s="84"/>
      <c r="AP16" s="84"/>
      <c r="AQ16" s="84"/>
      <c r="AR16" s="84"/>
      <c r="AS16" s="84"/>
      <c r="AT16" s="84"/>
      <c r="AU16" s="84"/>
      <c r="AV16" s="84"/>
      <c r="AW16" s="84"/>
      <c r="AX16" s="84"/>
      <c r="AY16" s="84"/>
      <c r="AZ16" s="84"/>
      <c r="BA16" s="84"/>
      <c r="BB16" s="84"/>
      <c r="BC16" s="84"/>
    </row>
    <row r="17" spans="1:55" x14ac:dyDescent="0.3">
      <c r="A17" s="60" t="s">
        <v>30</v>
      </c>
      <c r="B17" s="60" t="s">
        <v>31</v>
      </c>
      <c r="C17" s="2">
        <v>52</v>
      </c>
      <c r="D17" s="2">
        <v>48</v>
      </c>
      <c r="E17" s="2">
        <v>15</v>
      </c>
      <c r="F17" s="2">
        <v>21</v>
      </c>
      <c r="G17" s="2">
        <v>35</v>
      </c>
      <c r="H17" s="2">
        <v>29</v>
      </c>
      <c r="I17" s="2"/>
      <c r="J17" s="2"/>
      <c r="K17" s="2">
        <v>26</v>
      </c>
      <c r="L17" s="2">
        <v>22</v>
      </c>
      <c r="M17" s="2">
        <v>19</v>
      </c>
      <c r="N17" s="2">
        <v>18</v>
      </c>
      <c r="O17" s="2">
        <v>14</v>
      </c>
      <c r="P17" s="2"/>
      <c r="Q17" s="2"/>
      <c r="R17" s="2"/>
      <c r="S17" s="2"/>
      <c r="T17" s="2"/>
      <c r="U17" s="2"/>
      <c r="V17" s="2"/>
      <c r="W17" s="2"/>
      <c r="X17" s="2"/>
      <c r="Y17" s="2"/>
      <c r="Z17" s="2"/>
      <c r="AA17" s="2"/>
      <c r="AB17" s="2"/>
      <c r="AC17" s="2"/>
      <c r="AD17" s="2"/>
      <c r="AE17" s="2"/>
      <c r="AF17" s="2"/>
      <c r="AG17" s="2"/>
      <c r="AH17" s="2"/>
      <c r="AI17" s="84"/>
      <c r="AJ17" s="84"/>
      <c r="AK17" s="84"/>
      <c r="AL17" s="84"/>
      <c r="AM17" s="84"/>
      <c r="AN17" s="84"/>
      <c r="AO17" s="84"/>
      <c r="AP17" s="84"/>
      <c r="AQ17" s="84"/>
      <c r="AR17" s="84"/>
      <c r="AS17" s="84"/>
      <c r="AT17" s="84"/>
      <c r="AU17" s="84"/>
      <c r="AV17" s="84"/>
      <c r="AW17" s="84"/>
      <c r="AX17" s="84"/>
      <c r="AY17" s="84"/>
      <c r="AZ17" s="84"/>
      <c r="BA17" s="84"/>
      <c r="BB17" s="84"/>
      <c r="BC17" s="84"/>
    </row>
    <row r="18" spans="1:55" x14ac:dyDescent="0.3">
      <c r="A18" s="59" t="s">
        <v>32</v>
      </c>
      <c r="B18" s="59" t="s">
        <v>33</v>
      </c>
      <c r="C18" s="2">
        <v>49</v>
      </c>
      <c r="D18" s="2">
        <v>51</v>
      </c>
      <c r="E18" s="2">
        <v>14</v>
      </c>
      <c r="F18" s="2">
        <v>18</v>
      </c>
      <c r="G18" s="2">
        <v>37</v>
      </c>
      <c r="H18" s="2">
        <v>31</v>
      </c>
      <c r="I18" s="2"/>
      <c r="J18" s="2"/>
      <c r="K18" s="2">
        <v>4</v>
      </c>
      <c r="L18" s="2">
        <v>13</v>
      </c>
      <c r="M18" s="2">
        <v>22</v>
      </c>
      <c r="N18" s="2">
        <v>28</v>
      </c>
      <c r="O18" s="2">
        <v>33</v>
      </c>
      <c r="P18" s="2"/>
      <c r="Q18" s="2"/>
      <c r="R18" s="2"/>
      <c r="S18" s="2"/>
      <c r="T18" s="2"/>
      <c r="U18" s="2"/>
      <c r="V18" s="2"/>
      <c r="W18" s="2"/>
      <c r="X18" s="2"/>
      <c r="Y18" s="2"/>
      <c r="Z18" s="2"/>
      <c r="AA18" s="2"/>
      <c r="AB18" s="2"/>
      <c r="AC18" s="2"/>
      <c r="AD18" s="2"/>
      <c r="AE18" s="2"/>
      <c r="AF18" s="2"/>
      <c r="AG18" s="2"/>
      <c r="AH18" s="2"/>
      <c r="AI18" s="84"/>
      <c r="AJ18" s="84"/>
      <c r="AK18" s="84"/>
      <c r="AL18" s="84"/>
      <c r="AM18" s="84"/>
      <c r="AN18" s="84"/>
      <c r="AO18" s="84"/>
      <c r="AP18" s="84"/>
      <c r="AQ18" s="84"/>
      <c r="AR18" s="84"/>
      <c r="AS18" s="84"/>
      <c r="AT18" s="84"/>
      <c r="AU18" s="84"/>
      <c r="AV18" s="84"/>
      <c r="AW18" s="84"/>
      <c r="AX18" s="84"/>
      <c r="AY18" s="84"/>
      <c r="AZ18" s="84"/>
      <c r="BA18" s="84"/>
      <c r="BB18" s="84"/>
      <c r="BC18" s="84"/>
    </row>
    <row r="19" spans="1:55" x14ac:dyDescent="0.3">
      <c r="A19" s="60" t="s">
        <v>34</v>
      </c>
      <c r="B19" s="60" t="s">
        <v>35</v>
      </c>
      <c r="C19" s="2">
        <v>50</v>
      </c>
      <c r="D19" s="2">
        <v>50</v>
      </c>
      <c r="E19" s="2">
        <v>15</v>
      </c>
      <c r="F19" s="2">
        <v>20</v>
      </c>
      <c r="G19" s="2">
        <v>35</v>
      </c>
      <c r="H19" s="2">
        <v>31</v>
      </c>
      <c r="I19" s="2"/>
      <c r="J19" s="2"/>
      <c r="K19" s="2">
        <v>5</v>
      </c>
      <c r="L19" s="2">
        <v>10</v>
      </c>
      <c r="M19" s="2">
        <v>15</v>
      </c>
      <c r="N19" s="2">
        <v>26</v>
      </c>
      <c r="O19" s="2">
        <v>43</v>
      </c>
      <c r="P19" s="2"/>
      <c r="Q19" s="2"/>
      <c r="R19" s="2"/>
      <c r="S19" s="2"/>
      <c r="T19" s="2"/>
      <c r="U19" s="2"/>
      <c r="V19" s="2"/>
      <c r="W19" s="2"/>
      <c r="X19" s="2"/>
      <c r="Y19" s="2"/>
      <c r="Z19" s="2"/>
      <c r="AA19" s="2"/>
      <c r="AB19" s="2"/>
      <c r="AC19" s="2"/>
      <c r="AD19" s="2"/>
      <c r="AE19" s="2"/>
      <c r="AF19" s="2"/>
      <c r="AG19" s="2"/>
      <c r="AH19" s="2"/>
      <c r="AI19" s="84"/>
      <c r="AJ19" s="84"/>
      <c r="AK19" s="84"/>
      <c r="AL19" s="84"/>
      <c r="AM19" s="84"/>
      <c r="AN19" s="84"/>
      <c r="AO19" s="84"/>
      <c r="AP19" s="84"/>
      <c r="AQ19" s="84"/>
      <c r="AR19" s="84"/>
      <c r="AS19" s="84"/>
      <c r="AT19" s="84"/>
      <c r="AU19" s="84"/>
      <c r="AV19" s="84"/>
      <c r="AW19" s="84"/>
      <c r="AX19" s="84"/>
      <c r="AY19" s="84"/>
      <c r="AZ19" s="84"/>
      <c r="BA19" s="84"/>
      <c r="BB19" s="84"/>
      <c r="BC19" s="84"/>
    </row>
    <row r="20" spans="1:55" x14ac:dyDescent="0.3">
      <c r="A20" s="59" t="s">
        <v>36</v>
      </c>
      <c r="B20" s="59" t="s">
        <v>37</v>
      </c>
      <c r="C20" s="2">
        <v>52</v>
      </c>
      <c r="D20" s="2">
        <v>48</v>
      </c>
      <c r="E20" s="2">
        <v>13</v>
      </c>
      <c r="F20" s="2">
        <v>21</v>
      </c>
      <c r="G20" s="2">
        <v>36</v>
      </c>
      <c r="H20" s="2">
        <v>30</v>
      </c>
      <c r="I20" s="2"/>
      <c r="J20" s="2"/>
      <c r="K20" s="2">
        <v>7</v>
      </c>
      <c r="L20" s="2">
        <v>17</v>
      </c>
      <c r="M20" s="2">
        <v>21</v>
      </c>
      <c r="N20" s="2">
        <v>26</v>
      </c>
      <c r="O20" s="2">
        <v>30</v>
      </c>
      <c r="P20" s="2"/>
      <c r="Q20" s="2"/>
      <c r="R20" s="2"/>
      <c r="S20" s="2"/>
      <c r="T20" s="2"/>
      <c r="U20" s="2"/>
      <c r="V20" s="2"/>
      <c r="W20" s="2"/>
      <c r="X20" s="2"/>
      <c r="Y20" s="2"/>
      <c r="Z20" s="2"/>
      <c r="AA20" s="2"/>
      <c r="AB20" s="2"/>
      <c r="AC20" s="2"/>
      <c r="AD20" s="2"/>
      <c r="AE20" s="2"/>
      <c r="AF20" s="2"/>
      <c r="AG20" s="2"/>
      <c r="AH20" s="2"/>
      <c r="AI20" s="84"/>
      <c r="AJ20" s="84"/>
      <c r="AK20" s="84"/>
      <c r="AL20" s="84"/>
      <c r="AM20" s="84"/>
      <c r="AN20" s="84"/>
      <c r="AO20" s="84"/>
      <c r="AP20" s="84"/>
      <c r="AQ20" s="84"/>
      <c r="AR20" s="84"/>
      <c r="AS20" s="84"/>
      <c r="AT20" s="84"/>
      <c r="AU20" s="84"/>
      <c r="AV20" s="84"/>
      <c r="AW20" s="84"/>
      <c r="AX20" s="84"/>
      <c r="AY20" s="84"/>
      <c r="AZ20" s="84"/>
      <c r="BA20" s="84"/>
      <c r="BB20" s="84"/>
      <c r="BC20" s="84"/>
    </row>
    <row r="21" spans="1:55" x14ac:dyDescent="0.3">
      <c r="A21" s="59" t="s">
        <v>39</v>
      </c>
      <c r="B21" s="59" t="s">
        <v>40</v>
      </c>
      <c r="C21" s="2">
        <v>50</v>
      </c>
      <c r="D21" s="2">
        <v>50</v>
      </c>
      <c r="E21" s="2">
        <v>14</v>
      </c>
      <c r="F21" s="2">
        <v>23</v>
      </c>
      <c r="G21" s="2">
        <v>34</v>
      </c>
      <c r="H21" s="2">
        <v>29</v>
      </c>
      <c r="I21" s="2"/>
      <c r="J21" s="2"/>
      <c r="K21" s="2">
        <v>22</v>
      </c>
      <c r="L21" s="2">
        <v>19</v>
      </c>
      <c r="M21" s="2">
        <v>20</v>
      </c>
      <c r="N21" s="2">
        <v>23</v>
      </c>
      <c r="O21" s="2">
        <v>16</v>
      </c>
      <c r="P21" s="2"/>
      <c r="Q21" s="2"/>
      <c r="R21" s="2"/>
      <c r="S21" s="2"/>
      <c r="T21" s="2"/>
      <c r="U21" s="2"/>
      <c r="V21" s="2"/>
      <c r="W21" s="2"/>
      <c r="X21" s="2"/>
      <c r="Y21" s="2"/>
      <c r="Z21" s="2"/>
      <c r="AA21" s="2"/>
      <c r="AB21" s="2"/>
      <c r="AC21" s="2"/>
      <c r="AD21" s="2"/>
      <c r="AE21" s="2"/>
      <c r="AF21" s="2"/>
      <c r="AG21" s="2"/>
      <c r="AH21" s="2"/>
      <c r="AI21" s="84"/>
      <c r="AJ21" s="84"/>
      <c r="AK21" s="84"/>
      <c r="AL21" s="84"/>
      <c r="AM21" s="84"/>
      <c r="AN21" s="84"/>
      <c r="AO21" s="84"/>
      <c r="AP21" s="84"/>
      <c r="AQ21" s="84"/>
      <c r="AR21" s="84"/>
      <c r="AS21" s="84"/>
      <c r="AT21" s="84"/>
      <c r="AU21" s="84"/>
      <c r="AV21" s="84"/>
      <c r="AW21" s="84"/>
      <c r="AX21" s="84"/>
      <c r="AY21" s="84"/>
      <c r="AZ21" s="84"/>
      <c r="BA21" s="84"/>
      <c r="BB21" s="84"/>
      <c r="BC21" s="84"/>
    </row>
    <row r="22" spans="1:55" x14ac:dyDescent="0.3">
      <c r="A22" s="61" t="s">
        <v>41</v>
      </c>
      <c r="B22" s="61" t="s">
        <v>42</v>
      </c>
      <c r="C22" s="2">
        <v>51</v>
      </c>
      <c r="D22" s="2">
        <v>49</v>
      </c>
      <c r="E22" s="2">
        <v>17</v>
      </c>
      <c r="F22" s="2">
        <v>22</v>
      </c>
      <c r="G22" s="2">
        <v>34</v>
      </c>
      <c r="H22" s="2">
        <v>28</v>
      </c>
      <c r="I22" s="2"/>
      <c r="J22" s="2"/>
      <c r="K22" s="2">
        <v>24</v>
      </c>
      <c r="L22" s="2">
        <v>17</v>
      </c>
      <c r="M22" s="2">
        <v>22</v>
      </c>
      <c r="N22" s="2">
        <v>20</v>
      </c>
      <c r="O22" s="2">
        <v>17</v>
      </c>
      <c r="P22" s="2"/>
      <c r="Q22" s="2"/>
      <c r="R22" s="2"/>
      <c r="S22" s="2"/>
      <c r="T22" s="2"/>
      <c r="U22" s="2"/>
      <c r="V22" s="2"/>
      <c r="W22" s="2"/>
      <c r="X22" s="2"/>
      <c r="Y22" s="2"/>
      <c r="Z22" s="2"/>
      <c r="AA22" s="2"/>
      <c r="AB22" s="2"/>
      <c r="AC22" s="2"/>
      <c r="AD22" s="2"/>
      <c r="AE22" s="2"/>
      <c r="AF22" s="2"/>
      <c r="AG22" s="2"/>
      <c r="AH22" s="2"/>
      <c r="AI22" s="85"/>
      <c r="AJ22" s="85"/>
      <c r="AK22" s="85"/>
      <c r="AL22" s="85"/>
      <c r="AM22" s="85"/>
      <c r="AN22" s="85"/>
      <c r="AO22" s="85"/>
      <c r="AP22" s="85"/>
      <c r="AQ22" s="85"/>
      <c r="AR22" s="85"/>
      <c r="AS22" s="85"/>
      <c r="AT22" s="85"/>
      <c r="AU22" s="85"/>
      <c r="AV22" s="85"/>
      <c r="AW22" s="85"/>
      <c r="AX22" s="85"/>
      <c r="AY22" s="85"/>
      <c r="AZ22" s="85"/>
      <c r="BA22" s="85"/>
      <c r="BB22" s="85"/>
      <c r="BC22" s="85"/>
    </row>
  </sheetData>
  <sortState xmlns:xlrd2="http://schemas.microsoft.com/office/spreadsheetml/2017/richdata2" ref="A1:BC22">
    <sortCondition ref="B1:B22"/>
  </sortState>
  <phoneticPr fontId="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sheetPr>
  <dimension ref="A1:N2"/>
  <sheetViews>
    <sheetView workbookViewId="0">
      <selection activeCell="L20" sqref="L20"/>
    </sheetView>
  </sheetViews>
  <sheetFormatPr defaultRowHeight="14.4" x14ac:dyDescent="0.3"/>
  <cols>
    <col min="1" max="1" width="7.6640625" bestFit="1" customWidth="1"/>
    <col min="15" max="15" width="31" customWidth="1"/>
  </cols>
  <sheetData>
    <row r="1" spans="1:14" x14ac:dyDescent="0.3">
      <c r="A1" s="29" t="s">
        <v>257</v>
      </c>
      <c r="B1" t="s">
        <v>467</v>
      </c>
      <c r="C1" t="s">
        <v>468</v>
      </c>
      <c r="D1" t="s">
        <v>469</v>
      </c>
      <c r="E1" t="s">
        <v>470</v>
      </c>
      <c r="F1" t="s">
        <v>471</v>
      </c>
      <c r="G1" t="s">
        <v>472</v>
      </c>
      <c r="J1" t="s">
        <v>304</v>
      </c>
      <c r="K1" t="s">
        <v>301</v>
      </c>
      <c r="L1" t="s">
        <v>302</v>
      </c>
      <c r="M1" t="s">
        <v>303</v>
      </c>
      <c r="N1" t="s">
        <v>300</v>
      </c>
    </row>
    <row r="2" spans="1:14" s="18" customFormat="1" x14ac:dyDescent="0.3">
      <c r="A2" s="30" t="s">
        <v>276</v>
      </c>
      <c r="B2" s="2">
        <v>51</v>
      </c>
      <c r="C2" s="2">
        <v>49</v>
      </c>
      <c r="D2" s="2">
        <v>14</v>
      </c>
      <c r="E2" s="2">
        <v>22</v>
      </c>
      <c r="F2" s="2">
        <v>35</v>
      </c>
      <c r="G2" s="2">
        <v>29</v>
      </c>
      <c r="H2" s="2"/>
      <c r="I2" s="2"/>
      <c r="J2" s="2">
        <v>17</v>
      </c>
      <c r="K2" s="2">
        <v>19</v>
      </c>
      <c r="L2" s="2">
        <v>21</v>
      </c>
      <c r="M2" s="2">
        <v>22</v>
      </c>
      <c r="N2" s="2">
        <v>21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ce595a-391a-49ba-8c57-a5ba7e233401">
      <UserInfo>
        <DisplayName>Ella Barber</DisplayName>
        <AccountId>15</AccountId>
        <AccountType/>
      </UserInfo>
      <UserInfo>
        <DisplayName>Julie Nossiter</DisplayName>
        <AccountId>18</AccountId>
        <AccountType/>
      </UserInfo>
      <UserInfo>
        <DisplayName>Verity Walker</DisplayName>
        <AccountId>53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7E42A658625949A23FAF559764E968" ma:contentTypeVersion="6" ma:contentTypeDescription="Create a new document." ma:contentTypeScope="" ma:versionID="69f600d0983b046f3042b9f56c0ff49a">
  <xsd:schema xmlns:xsd="http://www.w3.org/2001/XMLSchema" xmlns:xs="http://www.w3.org/2001/XMLSchema" xmlns:p="http://schemas.microsoft.com/office/2006/metadata/properties" xmlns:ns2="25d0d7a6-2c38-4afc-9b32-c346c435ea26" xmlns:ns3="c5ce595a-391a-49ba-8c57-a5ba7e233401" targetNamespace="http://schemas.microsoft.com/office/2006/metadata/properties" ma:root="true" ma:fieldsID="4f172bc30ae71be8e9d504b4cf72d2bd" ns2:_="" ns3:_="">
    <xsd:import namespace="25d0d7a6-2c38-4afc-9b32-c346c435ea26"/>
    <xsd:import namespace="c5ce595a-391a-49ba-8c57-a5ba7e2334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0d7a6-2c38-4afc-9b32-c346c435ea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e595a-391a-49ba-8c57-a5ba7e2334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7265DE0-9FDD-46E2-9A48-33AE64C459B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5ce595a-391a-49ba-8c57-a5ba7e233401"/>
    <ds:schemaRef ds:uri="http://purl.org/dc/elements/1.1/"/>
    <ds:schemaRef ds:uri="25d0d7a6-2c38-4afc-9b32-c346c435ea26"/>
    <ds:schemaRef ds:uri="http://www.w3.org/XML/1998/namespace"/>
    <ds:schemaRef ds:uri="http://purl.org/dc/dcmitype/"/>
  </ds:schemaRefs>
</ds:datastoreItem>
</file>

<file path=customXml/itemProps2.xml><?xml version="1.0" encoding="utf-8"?>
<ds:datastoreItem xmlns:ds="http://schemas.openxmlformats.org/officeDocument/2006/customXml" ds:itemID="{B799BBAF-2B7B-4BE9-ACB8-390D485DDD5D}">
  <ds:schemaRefs>
    <ds:schemaRef ds:uri="http://schemas.microsoft.com/sharepoint/v3/contenttype/forms"/>
  </ds:schemaRefs>
</ds:datastoreItem>
</file>

<file path=customXml/itemProps3.xml><?xml version="1.0" encoding="utf-8"?>
<ds:datastoreItem xmlns:ds="http://schemas.openxmlformats.org/officeDocument/2006/customXml" ds:itemID="{F3CE5453-F717-4F32-BEE1-DA4584CE7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0d7a6-2c38-4afc-9b32-c346c435ea26"/>
    <ds:schemaRef ds:uri="c5ce595a-391a-49ba-8c57-a5ba7e233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4FF676-B9CF-4EB4-AE44-19C2AF8358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69</vt:i4>
      </vt:variant>
    </vt:vector>
  </HeadingPairs>
  <TitlesOfParts>
    <vt:vector size="82" baseType="lpstr">
      <vt:lpstr>Introduction</vt:lpstr>
      <vt:lpstr>Explanations</vt:lpstr>
      <vt:lpstr>Acknowledgements</vt:lpstr>
      <vt:lpstr>Data quality dashboard</vt:lpstr>
      <vt:lpstr>Patient characteristics</vt:lpstr>
      <vt:lpstr>Links</vt:lpstr>
      <vt:lpstr>Lists</vt:lpstr>
      <vt:lpstr>trust_data_quality</vt:lpstr>
      <vt:lpstr>alliance_data_quality</vt:lpstr>
      <vt:lpstr>national_data_quality</vt:lpstr>
      <vt:lpstr>trust_patient_char</vt:lpstr>
      <vt:lpstr>alliance_patient_chars</vt:lpstr>
      <vt:lpstr>national_patient_chars</vt:lpstr>
      <vt:lpstr>alliance_dq_cols</vt:lpstr>
      <vt:lpstr>alliance_dq_rows</vt:lpstr>
      <vt:lpstr>alliance_dq_table</vt:lpstr>
      <vt:lpstr>alliance_ptc_cols</vt:lpstr>
      <vt:lpstr>alliance_ptc_rows</vt:lpstr>
      <vt:lpstr>alliance_ptc_table</vt:lpstr>
      <vt:lpstr>denom_missing</vt:lpstr>
      <vt:lpstr>dq_cell_ref_col_names</vt:lpstr>
      <vt:lpstr>dq_cell_ref_matrix</vt:lpstr>
      <vt:lpstr>dq_cell_ref_row_names</vt:lpstr>
      <vt:lpstr>dq_cell_ref_table</vt:lpstr>
      <vt:lpstr>end_date_england</vt:lpstr>
      <vt:lpstr>end_date_england_char</vt:lpstr>
      <vt:lpstr>Figure_Xaxis_labels</vt:lpstr>
      <vt:lpstr>indic_cell_ref_col_names</vt:lpstr>
      <vt:lpstr>indic_cell_ref_matrix</vt:lpstr>
      <vt:lpstr>indic_cell_ref_row_names</vt:lpstr>
      <vt:lpstr>n_ca</vt:lpstr>
      <vt:lpstr>n_trusts</vt:lpstr>
      <vt:lpstr>n_trusts_in_CA</vt:lpstr>
      <vt:lpstr>national_dq_cols</vt:lpstr>
      <vt:lpstr>national_dq_table</vt:lpstr>
      <vt:lpstr>national_ptc_cols</vt:lpstr>
      <vt:lpstr>national_ptc_row</vt:lpstr>
      <vt:lpstr>publication_year</vt:lpstr>
      <vt:lpstr>selected_dq_datasource_l</vt:lpstr>
      <vt:lpstr>selected_dq_datasource_xc</vt:lpstr>
      <vt:lpstr>selected_dq_datavar_l</vt:lpstr>
      <vt:lpstr>selected_dq_datavar_xc</vt:lpstr>
      <vt:lpstr>selected_dq_denom_l</vt:lpstr>
      <vt:lpstr>selected_dq_denom_xc</vt:lpstr>
      <vt:lpstr>selected_dq_denomdescr_l</vt:lpstr>
      <vt:lpstr>selected_dq_denomdescr_xc</vt:lpstr>
      <vt:lpstr>selected_dq_descr_l</vt:lpstr>
      <vt:lpstr>selected_dq_descr_xc</vt:lpstr>
      <vt:lpstr>selected_dq_name_l</vt:lpstr>
      <vt:lpstr>selected_dq_name_xc</vt:lpstr>
      <vt:lpstr>selected_dq_num_l</vt:lpstr>
      <vt:lpstr>selected_dq_num_xc</vt:lpstr>
      <vt:lpstr>selected_dq_target_l</vt:lpstr>
      <vt:lpstr>selected_dq_target_xc</vt:lpstr>
      <vt:lpstr>selected_dq_time_l</vt:lpstr>
      <vt:lpstr>selected_dq_time_xc</vt:lpstr>
      <vt:lpstr>selected_trust_l</vt:lpstr>
      <vt:lpstr>selected_trust_l_ca_code</vt:lpstr>
      <vt:lpstr>selected_trust_l_ca_name</vt:lpstr>
      <vt:lpstr>selected_trust_l_code</vt:lpstr>
      <vt:lpstr>selected_trust_ptc</vt:lpstr>
      <vt:lpstr>selected_trust_ptc_ca_code</vt:lpstr>
      <vt:lpstr>selected_trust_ptc_ca_name</vt:lpstr>
      <vt:lpstr>selected_trust_ptc_code</vt:lpstr>
      <vt:lpstr>selected_trust_xc</vt:lpstr>
      <vt:lpstr>selected_trust_xc_ca_code</vt:lpstr>
      <vt:lpstr>selected_trust_xc_ca_name</vt:lpstr>
      <vt:lpstr>selected_trust_xc_code</vt:lpstr>
      <vt:lpstr>start_date_england</vt:lpstr>
      <vt:lpstr>start_date_england_char</vt:lpstr>
      <vt:lpstr>table_national_dq</vt:lpstr>
      <vt:lpstr>table_trust_ca</vt:lpstr>
      <vt:lpstr>table_trust_ca_assoc</vt:lpstr>
      <vt:lpstr>table_trust_dq</vt:lpstr>
      <vt:lpstr>table_trusts_per_CA</vt:lpstr>
      <vt:lpstr>trust_dq_cols</vt:lpstr>
      <vt:lpstr>trust_dq_rows</vt:lpstr>
      <vt:lpstr>trust_dq_table</vt:lpstr>
      <vt:lpstr>trust_ptc_cols</vt:lpstr>
      <vt:lpstr>trust_ptc_rows</vt:lpstr>
      <vt:lpstr>trust_ptc_table</vt:lpstr>
      <vt:lpstr>trusts_per_CA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Barber</dc:creator>
  <cp:lastModifiedBy>Amanda McDonell</cp:lastModifiedBy>
  <cp:lastPrinted>2024-03-13T10:45:20Z</cp:lastPrinted>
  <dcterms:created xsi:type="dcterms:W3CDTF">2023-03-10T15:09:40Z</dcterms:created>
  <dcterms:modified xsi:type="dcterms:W3CDTF">2024-04-08T14:11:10Z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0x010100EC7E42A658625949A23FAF559764E968</vt:lpwstr>
  </property>
</Properties>
</file>