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S:\NATCAN_Projects\NHL\6. Quarterly reports\03-2024 (March)\5. Published version\"/>
    </mc:Choice>
  </mc:AlternateContent>
  <xr:revisionPtr revIDLastSave="0" documentId="13_ncr:1_{9B72C7EB-52AF-4DC2-B865-CC669AA60E8C}" xr6:coauthVersionLast="47" xr6:coauthVersionMax="47" xr10:uidLastSave="{00000000-0000-0000-0000-000000000000}"/>
  <bookViews>
    <workbookView xWindow="-110" yWindow="-110" windowWidth="19420" windowHeight="10420" tabRatio="929" activeTab="8" xr2:uid="{00000000-000D-0000-FFFF-FFFF00000000}"/>
  </bookViews>
  <sheets>
    <sheet name="Introduction" sheetId="11" r:id="rId1"/>
    <sheet name="Acknowledgements" sheetId="13" r:id="rId2"/>
    <sheet name="Explanatory notes" sheetId="45" r:id="rId3"/>
    <sheet name="Dashboard-pt char" sheetId="41" r:id="rId4"/>
    <sheet name="Dashboard-COSD" sheetId="20" r:id="rId5"/>
    <sheet name="Dashboard-RCRD" sheetId="46" r:id="rId6"/>
    <sheet name="Links" sheetId="21" state="hidden" r:id="rId7"/>
    <sheet name="Lists" sheetId="25" state="hidden" r:id="rId8"/>
    <sheet name="ICD codes" sheetId="51" r:id="rId9"/>
    <sheet name="trust_rcrd_quality" sheetId="24" state="hidden" r:id="rId10"/>
    <sheet name="alliance_rcrd_quality" sheetId="23" state="hidden" r:id="rId11"/>
    <sheet name="national_rcrd_quality" sheetId="22" state="hidden" r:id="rId12"/>
    <sheet name="trust_cosd_quality" sheetId="47" state="hidden" r:id="rId13"/>
    <sheet name="alliance_cosd_quality" sheetId="48" state="hidden" r:id="rId14"/>
    <sheet name="national_cosd_quality" sheetId="49" state="hidden" r:id="rId15"/>
    <sheet name="trust_patient_char" sheetId="34" state="hidden" r:id="rId16"/>
    <sheet name="alliance_patient_chars" sheetId="30" state="hidden" r:id="rId17"/>
    <sheet name="national_patient_chars" sheetId="32" state="hidden" r:id="rId18"/>
  </sheets>
  <definedNames>
    <definedName name="_xlnm._FilterDatabase" localSheetId="1" hidden="1">Acknowledgements!$C$16:$C$19</definedName>
    <definedName name="_xlnm._FilterDatabase" localSheetId="12" hidden="1">trust_cosd_quality!$A$1:$T$129</definedName>
    <definedName name="_xlnm._FilterDatabase" localSheetId="9" hidden="1">trust_rcrd_quality!$A$1:$O$130</definedName>
    <definedName name="alliance_cosdq_cols">Lists!$G$43</definedName>
    <definedName name="alliance_cosdq_rows">Lists!$G$42</definedName>
    <definedName name="alliance_cosdq_table">Lists!$G$41</definedName>
    <definedName name="alliance_ptc_cols">Lists!$K$42</definedName>
    <definedName name="alliance_ptc_rows">Lists!$K$43</definedName>
    <definedName name="alliance_ptc_table">Lists!$K$41</definedName>
    <definedName name="alliance_rcrdq_cols">Lists!$C$43</definedName>
    <definedName name="alliance_rcrdq_rows">Lists!$C$42</definedName>
    <definedName name="alliance_rcrdq_table">Lists!$C$41</definedName>
    <definedName name="audit_cancer_type">Lists!$H$5</definedName>
    <definedName name="audit_name_long">Lists!$G$5</definedName>
    <definedName name="audit_name_short">Lists!$F$5</definedName>
    <definedName name="cosdq_cell_ref_col_names">Lists!$E$23</definedName>
    <definedName name="cosdq_cell_ref_matrix">Lists!$D$23</definedName>
    <definedName name="cosdq_cell_ref_row_names">Lists!$F$23</definedName>
    <definedName name="cosdq_cell_ref_table">Lists!$C$23</definedName>
    <definedName name="end_date_cosd">Lists!$F$50</definedName>
    <definedName name="end_date_ptc">Lists!$H$50</definedName>
    <definedName name="end_date_rcrd">Lists!$D$50</definedName>
    <definedName name="further_info_cosdq">'Explanatory notes'!$B$18</definedName>
    <definedName name="further_info_for_nhs_trusts">'Explanatory notes'!$B$72</definedName>
    <definedName name="further_info_ptchar">'Explanatory notes'!$B$28</definedName>
    <definedName name="further_info_rcrdq">'Explanatory notes'!$B$8</definedName>
    <definedName name="methods_icd">'Explanatory notes'!$B$42</definedName>
    <definedName name="methods_small_n">'Explanatory notes'!$B$38</definedName>
    <definedName name="n_ca">Lists!$D$54</definedName>
    <definedName name="n_trusts">Lists!$C$54</definedName>
    <definedName name="n_trusts_in_CA_xc_cosd">Links!$F$12</definedName>
    <definedName name="n_trusts_in_CA_xc_rcrd">Links!$F$8</definedName>
    <definedName name="national_cosdq_cols">Lists!$G$45</definedName>
    <definedName name="national_cosdq_table">Lists!$G$44</definedName>
    <definedName name="national_ptc_cols">Lists!$K$45</definedName>
    <definedName name="national_ptc_row">Lists!$K$44</definedName>
    <definedName name="national_rcrdq_cols">Lists!$C$45</definedName>
    <definedName name="national_rcrdq_table">Lists!$C$44</definedName>
    <definedName name="publication_quarter">Lists!$J$50</definedName>
    <definedName name="publication_year">Lists!$I$50</definedName>
    <definedName name="quarter_definitions">Lists!$K$50</definedName>
    <definedName name="rcrdq_cell_ref_col_names">Lists!$E$12</definedName>
    <definedName name="rcrdq_cell_ref_matrix">Lists!$D$12</definedName>
    <definedName name="rcrdq_cell_ref_row_names">Lists!$F$12</definedName>
    <definedName name="rcrdq_cell_ref_table">Lists!$C$12</definedName>
    <definedName name="selected_cosdq_datasource_xc">Links!$H$27</definedName>
    <definedName name="selected_cosdq_datavar_xc">Links!$I$27</definedName>
    <definedName name="selected_cosdq_denom_xc">Links!$E$27</definedName>
    <definedName name="selected_cosdq_denomdescr_xc">Links!$G$27</definedName>
    <definedName name="selected_cosdq_descr_xc">Links!$B$27</definedName>
    <definedName name="selected_cosdq_name_xc">Links!$C$27</definedName>
    <definedName name="selected_cosdq_num_xc">Links!$F$27</definedName>
    <definedName name="selected_cosdq_target_xc">Links!$D$27</definedName>
    <definedName name="selected_cosdq_time_xc">Links!$J$27</definedName>
    <definedName name="selected_rcrdq_datasource_xc">Links!$H$22</definedName>
    <definedName name="selected_rcrdq_datavar_xc">Links!$I$22</definedName>
    <definedName name="selected_rcrdq_denom_xc">Links!$E$22</definedName>
    <definedName name="selected_rcrdq_denomdescr_xc">Links!$G$22</definedName>
    <definedName name="selected_rcrdq_descr_xc">Links!$B$22</definedName>
    <definedName name="selected_rcrdq_name_xc">Links!$C$22</definedName>
    <definedName name="selected_rcrdq_num_xc">Links!$F$22</definedName>
    <definedName name="selected_rcrdq_target_xc">Links!$D$22</definedName>
    <definedName name="selected_rcrdq_time_xc">Links!$J$22</definedName>
    <definedName name="selected_trust_ca_code_xc_cosd">Links!$E$12</definedName>
    <definedName name="selected_trust_ca_code_xc_rcrd">Links!$E$8</definedName>
    <definedName name="selected_trust_ca_name_xc_cosd">Links!$D$12</definedName>
    <definedName name="selected_trust_ca_name_xc_rcrd">Links!$D$8</definedName>
    <definedName name="selected_trust_code_xc_cosd">Links!$C$12</definedName>
    <definedName name="selected_trust_code_xc_rcrd">Links!$C$8</definedName>
    <definedName name="selected_trust_ptc">Links!$B$16</definedName>
    <definedName name="selected_trust_ptc_ca_name">Links!$D$16</definedName>
    <definedName name="selected_trust_ptc_code">Links!$C$16</definedName>
    <definedName name="selected_trust_xc_cosd">Links!$B$12</definedName>
    <definedName name="selected_trust_xc_rcrd">Links!$B$8</definedName>
    <definedName name="start_date_cosd">Lists!$E$50</definedName>
    <definedName name="start_date_ptc">Lists!$G$50</definedName>
    <definedName name="start_date_rcrd">Lists!$C$50</definedName>
    <definedName name="table_trust_ca_assoc">Lists!$C$59</definedName>
    <definedName name="trust_cosdq_cols">Lists!$G$40</definedName>
    <definedName name="trust_cosdq_rows">Lists!$G$39</definedName>
    <definedName name="trust_cosdq_table">Lists!$G$38</definedName>
    <definedName name="trust_ptc_cols">Lists!$K$40</definedName>
    <definedName name="trust_ptc_rows">Lists!$K$39</definedName>
    <definedName name="trust_ptc_table">Lists!$K$38</definedName>
    <definedName name="trust_rcrdq_cols">Lists!$C$40</definedName>
    <definedName name="trust_rcrdq_rows">Lists!$C$39</definedName>
    <definedName name="trust_rcrdq_table">Lists!$C$38</definedName>
    <definedName name="trusts_per_CA">Lists!$H$59</definedName>
  </definedNames>
  <calcPr calcId="191028"/>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1" l="1"/>
  <c r="C15" i="41"/>
  <c r="I13" i="20"/>
  <c r="I13" i="46"/>
  <c r="C36" i="45"/>
  <c r="C16" i="45"/>
  <c r="C26" i="45"/>
  <c r="D23" i="45"/>
  <c r="B20" i="41" l="1"/>
  <c r="C8" i="11"/>
  <c r="F14" i="41"/>
  <c r="D54" i="25" l="1"/>
  <c r="H60" i="25"/>
  <c r="I23" i="46" l="1"/>
  <c r="I22" i="20"/>
  <c r="B27" i="21"/>
  <c r="B22" i="20" s="1"/>
  <c r="B12" i="21"/>
  <c r="C27" i="20" s="1"/>
  <c r="C27" i="21"/>
  <c r="H27" i="21"/>
  <c r="D27" i="21"/>
  <c r="G27" i="21"/>
  <c r="C12" i="21"/>
  <c r="E12" i="21"/>
  <c r="I27" i="21"/>
  <c r="D12" i="21"/>
  <c r="F27" i="21"/>
  <c r="E27" i="21"/>
  <c r="T9" i="47" a="1"/>
  <c r="T25" i="47" a="1"/>
  <c r="T59" i="47" a="1"/>
  <c r="T34" i="47" a="1"/>
  <c r="T74" i="47" a="1"/>
  <c r="T110" i="47" a="1"/>
  <c r="T112" i="47" a="1"/>
  <c r="T107" i="47" a="1"/>
  <c r="T45" i="47" a="1"/>
  <c r="T80" i="47" a="1"/>
  <c r="T57" i="47" a="1"/>
  <c r="T104" i="47" a="1"/>
  <c r="T5" i="47" a="1"/>
  <c r="T98" i="47" a="1"/>
  <c r="T73" i="47" a="1"/>
  <c r="T72" i="47" a="1"/>
  <c r="T84" i="47" a="1"/>
  <c r="T116" i="47" a="1"/>
  <c r="T70" i="47" a="1"/>
  <c r="T47" i="47" a="1"/>
  <c r="T15" i="47" a="1"/>
  <c r="T46" i="47" a="1"/>
  <c r="T102" i="47" a="1"/>
  <c r="T76" i="47" a="1"/>
  <c r="T120" i="47" a="1"/>
  <c r="T93" i="47" a="1"/>
  <c r="T64" i="47" a="1"/>
  <c r="T83" i="47" a="1"/>
  <c r="T125" i="47" a="1"/>
  <c r="T19" i="47" a="1"/>
  <c r="T55" i="47" a="1"/>
  <c r="T115" i="47" a="1"/>
  <c r="T87" i="47" a="1"/>
  <c r="T21" i="47" a="1"/>
  <c r="T127" i="47" a="1"/>
  <c r="T75" i="47" a="1"/>
  <c r="T13" i="47" a="1"/>
  <c r="T27" i="47" a="1"/>
  <c r="T16" i="47" a="1"/>
  <c r="T62" i="47" a="1"/>
  <c r="T96" i="47" a="1"/>
  <c r="T42" i="47" a="1"/>
  <c r="T50" i="47" a="1"/>
  <c r="T78" i="47" a="1"/>
  <c r="T3" i="47" a="1"/>
  <c r="T11" i="47" a="1"/>
  <c r="T12" i="47" a="1"/>
  <c r="T122" i="47" a="1"/>
  <c r="T61" i="47" a="1"/>
  <c r="T2" i="47" a="1"/>
  <c r="T113" i="47" a="1"/>
  <c r="T65" i="47" a="1"/>
  <c r="T41" i="47" a="1"/>
  <c r="T117" i="47" a="1"/>
  <c r="T44" i="47" a="1"/>
  <c r="T67" i="47" a="1"/>
  <c r="T77" i="47" a="1"/>
  <c r="T123" i="47" a="1"/>
  <c r="T129" i="47" a="1"/>
  <c r="T7" i="47" a="1"/>
  <c r="T97" i="47" a="1"/>
  <c r="T81" i="47" a="1"/>
  <c r="T8" i="47" a="1"/>
  <c r="T37" i="47" a="1"/>
  <c r="T14" i="47" a="1"/>
  <c r="T105" i="47" a="1"/>
  <c r="T94" i="47" a="1"/>
  <c r="T23" i="47" a="1"/>
  <c r="T68" i="47" a="1"/>
  <c r="T90" i="47" a="1"/>
  <c r="T36" i="47" a="1"/>
  <c r="T89" i="47" a="1"/>
  <c r="T63" i="47" a="1"/>
  <c r="T6" i="47" a="1"/>
  <c r="T60" i="47" a="1"/>
  <c r="T30" i="47" a="1"/>
  <c r="T99" i="47" a="1"/>
  <c r="T53" i="47" a="1"/>
  <c r="T54" i="47" a="1"/>
  <c r="T69" i="47" a="1"/>
  <c r="T26" i="47" a="1"/>
  <c r="T48" i="47" a="1"/>
  <c r="T95" i="47" a="1"/>
  <c r="T4" i="47" a="1"/>
  <c r="T22" i="47" a="1"/>
  <c r="T17" i="47" a="1"/>
  <c r="T111" i="47" a="1"/>
  <c r="T79" i="47" a="1"/>
  <c r="T38" i="47" a="1"/>
  <c r="T29" i="47" a="1"/>
  <c r="T31" i="47" a="1"/>
  <c r="T103" i="47" a="1"/>
  <c r="T121" i="47" a="1"/>
  <c r="T20" i="47" a="1"/>
  <c r="T85" i="47" a="1"/>
  <c r="T66" i="47" a="1"/>
  <c r="T88" i="47" a="1"/>
  <c r="T24" i="47" a="1"/>
  <c r="T58" i="47" a="1"/>
  <c r="T49" i="47" a="1"/>
  <c r="T101" i="47" a="1"/>
  <c r="T43" i="47" a="1"/>
  <c r="T52" i="47" a="1"/>
  <c r="T51" i="47" a="1"/>
  <c r="T92" i="47" a="1"/>
  <c r="T35" i="47" a="1"/>
  <c r="T40" i="47" a="1"/>
  <c r="T100" i="47" a="1"/>
  <c r="T39" i="47" a="1"/>
  <c r="T119" i="47" a="1"/>
  <c r="T18" i="47" a="1"/>
  <c r="T108" i="47" a="1"/>
  <c r="T91" i="47" a="1"/>
  <c r="T128" i="47" a="1"/>
  <c r="T33" i="47" a="1"/>
  <c r="T82" i="47" a="1"/>
  <c r="T32" i="47" a="1"/>
  <c r="T114" i="47" a="1"/>
  <c r="T126" i="47" a="1"/>
  <c r="T28" i="47" a="1"/>
  <c r="T71" i="47" a="1"/>
  <c r="T106" i="47" a="1"/>
  <c r="T124" i="47" a="1"/>
  <c r="T86" i="47" a="1"/>
  <c r="T109" i="47" a="1"/>
  <c r="T56" i="47" a="1"/>
  <c r="T10" i="47" a="1"/>
  <c r="T118" i="47" a="1"/>
  <c r="T3" i="47" l="1"/>
  <c r="T11" i="47"/>
  <c r="T19" i="47"/>
  <c r="T27" i="47"/>
  <c r="T35" i="47"/>
  <c r="T43" i="47"/>
  <c r="T51" i="47"/>
  <c r="T59" i="47"/>
  <c r="T73" i="47"/>
  <c r="T81" i="47"/>
  <c r="T89" i="47"/>
  <c r="T97" i="47"/>
  <c r="T105" i="47"/>
  <c r="T113" i="47"/>
  <c r="T121" i="47"/>
  <c r="T129" i="47"/>
  <c r="T4" i="47"/>
  <c r="T12" i="47"/>
  <c r="T20" i="47"/>
  <c r="T28" i="47"/>
  <c r="T36" i="47"/>
  <c r="T44" i="47"/>
  <c r="T52" i="47"/>
  <c r="T66" i="47"/>
  <c r="T74" i="47"/>
  <c r="T82" i="47"/>
  <c r="T90" i="47"/>
  <c r="T98" i="47"/>
  <c r="T114" i="47"/>
  <c r="T122" i="47"/>
  <c r="T23" i="47"/>
  <c r="T55" i="47"/>
  <c r="T93" i="47"/>
  <c r="T106" i="47"/>
  <c r="T60" i="47"/>
  <c r="T77" i="47"/>
  <c r="T125" i="47"/>
  <c r="T39" i="47"/>
  <c r="T5" i="47"/>
  <c r="T13" i="47"/>
  <c r="T21" i="47"/>
  <c r="T29" i="47"/>
  <c r="T37" i="47"/>
  <c r="T45" i="47"/>
  <c r="T53" i="47"/>
  <c r="T61" i="47"/>
  <c r="T67" i="47"/>
  <c r="T75" i="47"/>
  <c r="T83" i="47"/>
  <c r="T91" i="47"/>
  <c r="T99" i="47"/>
  <c r="T107" i="47"/>
  <c r="T115" i="47"/>
  <c r="T123" i="47"/>
  <c r="T6" i="47"/>
  <c r="T14" i="47"/>
  <c r="T22" i="47"/>
  <c r="T30" i="47"/>
  <c r="T38" i="47"/>
  <c r="T46" i="47"/>
  <c r="T54" i="47"/>
  <c r="T68" i="47"/>
  <c r="T76" i="47"/>
  <c r="T84" i="47"/>
  <c r="T100" i="47"/>
  <c r="T108" i="47"/>
  <c r="T116" i="47"/>
  <c r="T124" i="47"/>
  <c r="T7" i="47"/>
  <c r="T15" i="47"/>
  <c r="T31" i="47"/>
  <c r="T47" i="47"/>
  <c r="T69" i="47"/>
  <c r="T101" i="47"/>
  <c r="T109" i="47"/>
  <c r="T92" i="47"/>
  <c r="T8" i="47"/>
  <c r="T16" i="47"/>
  <c r="T24" i="47"/>
  <c r="T32" i="47"/>
  <c r="T40" i="47"/>
  <c r="T48" i="47"/>
  <c r="T56" i="47"/>
  <c r="T63" i="47"/>
  <c r="T70" i="47"/>
  <c r="T78" i="47"/>
  <c r="T86" i="47"/>
  <c r="T94" i="47"/>
  <c r="T102" i="47"/>
  <c r="T110" i="47"/>
  <c r="T118" i="47"/>
  <c r="T126" i="47"/>
  <c r="T9" i="47"/>
  <c r="T17" i="47"/>
  <c r="T25" i="47"/>
  <c r="T33" i="47"/>
  <c r="T41" i="47"/>
  <c r="T49" i="47"/>
  <c r="T57" i="47"/>
  <c r="T64" i="47"/>
  <c r="T71" i="47"/>
  <c r="T79" i="47"/>
  <c r="T87" i="47"/>
  <c r="T95" i="47"/>
  <c r="T103" i="47"/>
  <c r="T111" i="47"/>
  <c r="T119" i="47"/>
  <c r="T127" i="47"/>
  <c r="T10" i="47"/>
  <c r="T18" i="47"/>
  <c r="T26" i="47"/>
  <c r="T34" i="47"/>
  <c r="T42" i="47"/>
  <c r="T50" i="47"/>
  <c r="T58" i="47"/>
  <c r="T65" i="47"/>
  <c r="T72" i="47"/>
  <c r="T80" i="47"/>
  <c r="T88" i="47"/>
  <c r="T96" i="47"/>
  <c r="T104" i="47"/>
  <c r="T112" i="47"/>
  <c r="T120" i="47"/>
  <c r="T128" i="47"/>
  <c r="T62" i="47"/>
  <c r="T85" i="47"/>
  <c r="T117" i="47"/>
  <c r="T2" i="47"/>
  <c r="B32" i="20"/>
  <c r="I17" i="20"/>
  <c r="I15" i="20"/>
  <c r="I8" i="20"/>
  <c r="I5" i="20"/>
  <c r="R103" i="47" a="1"/>
  <c r="R53" i="47" a="1"/>
  <c r="R46" i="47" a="1"/>
  <c r="R94" i="47" a="1"/>
  <c r="R16" i="47" a="1"/>
  <c r="R10" i="47" a="1"/>
  <c r="R111" i="47" a="1"/>
  <c r="R26" i="47" a="1"/>
  <c r="R66" i="47" a="1"/>
  <c r="R93" i="47" a="1"/>
  <c r="R128" i="47" a="1"/>
  <c r="R59" i="47" a="1"/>
  <c r="R3" i="47" a="1"/>
  <c r="P15" i="48" a="1"/>
  <c r="R54" i="47" a="1"/>
  <c r="R95" i="47" a="1"/>
  <c r="R92" i="47" a="1"/>
  <c r="R76" i="47" a="1"/>
  <c r="R121" i="47" a="1"/>
  <c r="P13" i="48" a="1"/>
  <c r="R123" i="47" a="1"/>
  <c r="R90" i="47" a="1"/>
  <c r="R62" i="47" a="1"/>
  <c r="R113" i="47" a="1"/>
  <c r="R48" i="47" a="1"/>
  <c r="P21" i="48" a="1"/>
  <c r="R57" i="47" a="1"/>
  <c r="R110" i="47" a="1"/>
  <c r="R27" i="47" a="1"/>
  <c r="R124" i="47" a="1"/>
  <c r="R70" i="47" a="1"/>
  <c r="R108" i="47" a="1"/>
  <c r="R36" i="47" a="1"/>
  <c r="R120" i="47" a="1"/>
  <c r="R83" i="47" a="1"/>
  <c r="R101" i="47" a="1"/>
  <c r="R14" i="47" a="1"/>
  <c r="R38" i="47" a="1"/>
  <c r="P18" i="48" a="1"/>
  <c r="P11" i="48" a="1"/>
  <c r="R77" i="47" a="1"/>
  <c r="R126" i="47" a="1"/>
  <c r="R2" i="47" a="1"/>
  <c r="R125" i="47" a="1"/>
  <c r="P16" i="48" a="1"/>
  <c r="R29" i="47" a="1"/>
  <c r="R5" i="47" a="1"/>
  <c r="P6" i="48" a="1"/>
  <c r="R33" i="47" a="1"/>
  <c r="R42" i="47" a="1"/>
  <c r="R88" i="47" a="1"/>
  <c r="R96" i="47" a="1"/>
  <c r="R102" i="47" a="1"/>
  <c r="R67" i="47" a="1"/>
  <c r="R106" i="47" a="1"/>
  <c r="R64" i="47" a="1"/>
  <c r="R37" i="47" a="1"/>
  <c r="R11" i="47" a="1"/>
  <c r="R81" i="47" a="1"/>
  <c r="R98" i="47" a="1"/>
  <c r="P10" i="48" a="1"/>
  <c r="R117" i="47" a="1"/>
  <c r="R4" i="47" a="1"/>
  <c r="R56" i="47" a="1"/>
  <c r="P4" i="48" a="1"/>
  <c r="R61" i="47" a="1"/>
  <c r="R105" i="47" a="1"/>
  <c r="R19" i="47" a="1"/>
  <c r="R91" i="47" a="1"/>
  <c r="R87" i="47" a="1"/>
  <c r="R79" i="47" a="1"/>
  <c r="R9" i="47" a="1"/>
  <c r="R32" i="47" a="1"/>
  <c r="R63" i="47" a="1"/>
  <c r="R80" i="47" a="1"/>
  <c r="R52" i="47" a="1"/>
  <c r="R85" i="47" a="1"/>
  <c r="P9" i="48" a="1"/>
  <c r="R60" i="47" a="1"/>
  <c r="R49" i="47" a="1"/>
  <c r="R116" i="47" a="1"/>
  <c r="R41" i="47" a="1"/>
  <c r="R55" i="47" a="1"/>
  <c r="F27" i="20"/>
  <c r="R122" i="47" a="1"/>
  <c r="R69" i="47" a="1"/>
  <c r="R25" i="47" a="1"/>
  <c r="R86" i="47" a="1"/>
  <c r="R6" i="47" a="1"/>
  <c r="R75" i="47" a="1"/>
  <c r="R112" i="47" a="1"/>
  <c r="R43" i="47" a="1"/>
  <c r="R47" i="47" a="1"/>
  <c r="R114" i="47" a="1"/>
  <c r="R118" i="47" a="1"/>
  <c r="R17" i="47" a="1"/>
  <c r="R35" i="47" a="1"/>
  <c r="P12" i="48" a="1"/>
  <c r="R78" i="47" a="1"/>
  <c r="R7" i="47" a="1"/>
  <c r="P20" i="48" a="1"/>
  <c r="R74" i="47" a="1"/>
  <c r="R39" i="47" a="1"/>
  <c r="R40" i="47" a="1"/>
  <c r="P7" i="48" a="1"/>
  <c r="R44" i="47" a="1"/>
  <c r="R97" i="47" a="1"/>
  <c r="R65" i="47" a="1"/>
  <c r="F29" i="20"/>
  <c r="R119" i="47" a="1"/>
  <c r="P5" i="48" a="1"/>
  <c r="R13" i="47" a="1"/>
  <c r="P19" i="48" a="1"/>
  <c r="P17" i="48" a="1"/>
  <c r="P8" i="48" a="1"/>
  <c r="R22" i="47" a="1"/>
  <c r="R12" i="47" a="1"/>
  <c r="R23" i="47" a="1"/>
  <c r="R72" i="47" a="1"/>
  <c r="E27" i="20" a="1"/>
  <c r="R100" i="47" a="1"/>
  <c r="R73" i="47" a="1"/>
  <c r="R31" i="47" a="1"/>
  <c r="R129" i="47" a="1"/>
  <c r="R99" i="47" a="1"/>
  <c r="R104" i="47" a="1"/>
  <c r="R20" i="47" a="1"/>
  <c r="R89" i="47" a="1"/>
  <c r="R24" i="47" a="1"/>
  <c r="R115" i="47" a="1"/>
  <c r="R28" i="47" a="1"/>
  <c r="R34" i="47" a="1"/>
  <c r="R30" i="47" a="1"/>
  <c r="R84" i="47" a="1"/>
  <c r="P14" i="48" a="1"/>
  <c r="P22" i="48" a="1"/>
  <c r="R68" i="47" a="1"/>
  <c r="R51" i="47" a="1"/>
  <c r="R50" i="47" a="1"/>
  <c r="E29" i="20"/>
  <c r="P3" i="48" a="1"/>
  <c r="R127" i="47" a="1"/>
  <c r="R18" i="47" a="1"/>
  <c r="R45" i="47" a="1"/>
  <c r="R109" i="47" a="1"/>
  <c r="R21" i="47" a="1"/>
  <c r="R58" i="47" a="1"/>
  <c r="R107" i="47" a="1"/>
  <c r="P2" i="48" a="1"/>
  <c r="R82" i="47" a="1"/>
  <c r="R15" i="47" a="1"/>
  <c r="R8" i="47" a="1"/>
  <c r="R71" i="47" a="1"/>
  <c r="E27" i="20" l="1"/>
  <c r="P3" i="48"/>
  <c r="P13" i="48"/>
  <c r="P22" i="48"/>
  <c r="P15" i="48"/>
  <c r="P9" i="48"/>
  <c r="P12" i="48"/>
  <c r="P6" i="48"/>
  <c r="P8" i="48"/>
  <c r="P10" i="48"/>
  <c r="P18" i="48"/>
  <c r="P11" i="48"/>
  <c r="P19" i="48"/>
  <c r="P4" i="48"/>
  <c r="P20" i="48"/>
  <c r="P5" i="48"/>
  <c r="P21" i="48"/>
  <c r="P14" i="48"/>
  <c r="P7" i="48"/>
  <c r="P16" i="48"/>
  <c r="P17" i="48"/>
  <c r="P2" i="48"/>
  <c r="R4" i="47"/>
  <c r="R12" i="47"/>
  <c r="R20" i="47"/>
  <c r="R28" i="47"/>
  <c r="R36" i="47"/>
  <c r="R44" i="47"/>
  <c r="R52" i="47"/>
  <c r="R60" i="47"/>
  <c r="R66" i="47"/>
  <c r="R74" i="47"/>
  <c r="R82" i="47"/>
  <c r="R90" i="47"/>
  <c r="R98" i="47"/>
  <c r="R106" i="47"/>
  <c r="R114" i="47"/>
  <c r="R122" i="47"/>
  <c r="R84" i="47"/>
  <c r="R100" i="47"/>
  <c r="R116" i="47"/>
  <c r="R7" i="47"/>
  <c r="R23" i="47"/>
  <c r="R39" i="47"/>
  <c r="R55" i="47"/>
  <c r="R69" i="47"/>
  <c r="R85" i="47"/>
  <c r="R101" i="47"/>
  <c r="R117" i="47"/>
  <c r="R16" i="47"/>
  <c r="R32" i="47"/>
  <c r="R48" i="47"/>
  <c r="R63" i="47"/>
  <c r="R78" i="47"/>
  <c r="R94" i="47"/>
  <c r="R110" i="47"/>
  <c r="R118" i="47"/>
  <c r="R126" i="47"/>
  <c r="R9" i="47"/>
  <c r="R17" i="47"/>
  <c r="R25" i="47"/>
  <c r="R41" i="47"/>
  <c r="R49" i="47"/>
  <c r="R64" i="47"/>
  <c r="R79" i="47"/>
  <c r="R95" i="47"/>
  <c r="R111" i="47"/>
  <c r="R127" i="47"/>
  <c r="R5" i="47"/>
  <c r="R13" i="47"/>
  <c r="R21" i="47"/>
  <c r="R29" i="47"/>
  <c r="R37" i="47"/>
  <c r="R45" i="47"/>
  <c r="R53" i="47"/>
  <c r="R61" i="47"/>
  <c r="R67" i="47"/>
  <c r="R75" i="47"/>
  <c r="R83" i="47"/>
  <c r="R91" i="47"/>
  <c r="R99" i="47"/>
  <c r="R107" i="47"/>
  <c r="R115" i="47"/>
  <c r="R123" i="47"/>
  <c r="R6" i="47"/>
  <c r="R14" i="47"/>
  <c r="R22" i="47"/>
  <c r="R30" i="47"/>
  <c r="R38" i="47"/>
  <c r="R46" i="47"/>
  <c r="R54" i="47"/>
  <c r="R68" i="47"/>
  <c r="R76" i="47"/>
  <c r="R92" i="47"/>
  <c r="R108" i="47"/>
  <c r="R124" i="47"/>
  <c r="R15" i="47"/>
  <c r="R31" i="47"/>
  <c r="R47" i="47"/>
  <c r="R62" i="47"/>
  <c r="R77" i="47"/>
  <c r="R93" i="47"/>
  <c r="R109" i="47"/>
  <c r="R125" i="47"/>
  <c r="R8" i="47"/>
  <c r="R24" i="47"/>
  <c r="R40" i="47"/>
  <c r="R56" i="47"/>
  <c r="R70" i="47"/>
  <c r="R86" i="47"/>
  <c r="R102" i="47"/>
  <c r="R33" i="47"/>
  <c r="R57" i="47"/>
  <c r="R71" i="47"/>
  <c r="R87" i="47"/>
  <c r="R103" i="47"/>
  <c r="R119" i="47"/>
  <c r="R11" i="47"/>
  <c r="R43" i="47"/>
  <c r="R104" i="47"/>
  <c r="R73" i="47"/>
  <c r="R129" i="47"/>
  <c r="R18" i="47"/>
  <c r="R50" i="47"/>
  <c r="R105" i="47"/>
  <c r="R80" i="47"/>
  <c r="R19" i="47"/>
  <c r="R51" i="47"/>
  <c r="R81" i="47"/>
  <c r="R112" i="47"/>
  <c r="R26" i="47"/>
  <c r="R58" i="47"/>
  <c r="R88" i="47"/>
  <c r="R113" i="47"/>
  <c r="R27" i="47"/>
  <c r="R59" i="47"/>
  <c r="R89" i="47"/>
  <c r="R65" i="47"/>
  <c r="R120" i="47"/>
  <c r="R96" i="47"/>
  <c r="R3" i="47"/>
  <c r="R35" i="47"/>
  <c r="R121" i="47"/>
  <c r="R97" i="47"/>
  <c r="R10" i="47"/>
  <c r="R72" i="47"/>
  <c r="R34" i="47"/>
  <c r="R42" i="47"/>
  <c r="R128" i="47"/>
  <c r="R2" i="47"/>
  <c r="D34" i="21"/>
  <c r="F34" i="21" a="1"/>
  <c r="F34" i="21" s="1"/>
  <c r="I20" i="20"/>
  <c r="S121" i="47" l="1"/>
  <c r="S51" i="47"/>
  <c r="S33" i="47"/>
  <c r="S124" i="47"/>
  <c r="S91" i="47"/>
  <c r="S64" i="47"/>
  <c r="S19" i="47"/>
  <c r="S108" i="47"/>
  <c r="S83" i="47"/>
  <c r="S49" i="47"/>
  <c r="S85" i="47"/>
  <c r="S74" i="47"/>
  <c r="S35" i="47"/>
  <c r="S80" i="47"/>
  <c r="S86" i="47"/>
  <c r="S92" i="47"/>
  <c r="S75" i="47"/>
  <c r="S41" i="47"/>
  <c r="S69" i="47"/>
  <c r="S66" i="47"/>
  <c r="S70" i="47"/>
  <c r="S55" i="47"/>
  <c r="S96" i="47"/>
  <c r="S68" i="47"/>
  <c r="S39" i="47"/>
  <c r="S18" i="47"/>
  <c r="S9" i="47"/>
  <c r="S65" i="47"/>
  <c r="S45" i="47"/>
  <c r="S7" i="47"/>
  <c r="S73" i="47"/>
  <c r="S37" i="47"/>
  <c r="S116" i="47"/>
  <c r="S59" i="47"/>
  <c r="S125" i="47"/>
  <c r="S110" i="47"/>
  <c r="S22" i="47"/>
  <c r="S11" i="47"/>
  <c r="S119" i="47"/>
  <c r="S82" i="47"/>
  <c r="S67" i="47"/>
  <c r="S61" i="47"/>
  <c r="S52" i="47"/>
  <c r="S120" i="47"/>
  <c r="S53" i="47"/>
  <c r="S44" i="47"/>
  <c r="S46" i="47"/>
  <c r="S8" i="47"/>
  <c r="S28" i="47"/>
  <c r="S128" i="47"/>
  <c r="S101" i="47"/>
  <c r="S102" i="47"/>
  <c r="S76" i="47"/>
  <c r="S60" i="47"/>
  <c r="S56" i="47"/>
  <c r="S17" i="47"/>
  <c r="S54" i="47"/>
  <c r="S24" i="47"/>
  <c r="S126" i="47"/>
  <c r="S89" i="47"/>
  <c r="S118" i="47"/>
  <c r="S104" i="47"/>
  <c r="S30" i="47"/>
  <c r="S29" i="47"/>
  <c r="S100" i="47"/>
  <c r="S20" i="47"/>
  <c r="S27" i="47"/>
  <c r="S43" i="47"/>
  <c r="S109" i="47"/>
  <c r="S21" i="47"/>
  <c r="S94" i="47"/>
  <c r="S84" i="47"/>
  <c r="S12" i="47"/>
  <c r="S113" i="47"/>
  <c r="S93" i="47"/>
  <c r="S14" i="47"/>
  <c r="S13" i="47"/>
  <c r="S78" i="47"/>
  <c r="S4" i="47"/>
  <c r="S42" i="47"/>
  <c r="S88" i="47"/>
  <c r="S77" i="47"/>
  <c r="S6" i="47"/>
  <c r="S5" i="47"/>
  <c r="S63" i="47"/>
  <c r="S122" i="47"/>
  <c r="S34" i="47"/>
  <c r="S58" i="47"/>
  <c r="S103" i="47"/>
  <c r="S62" i="47"/>
  <c r="S123" i="47"/>
  <c r="S127" i="47"/>
  <c r="S48" i="47"/>
  <c r="S114" i="47"/>
  <c r="S72" i="47"/>
  <c r="S26" i="47"/>
  <c r="S87" i="47"/>
  <c r="S47" i="47"/>
  <c r="S115" i="47"/>
  <c r="S111" i="47"/>
  <c r="S32" i="47"/>
  <c r="S106" i="47"/>
  <c r="S3" i="47"/>
  <c r="S25" i="47"/>
  <c r="S50" i="47"/>
  <c r="S40" i="47"/>
  <c r="S23" i="47"/>
  <c r="S129" i="47"/>
  <c r="S36" i="47"/>
  <c r="S16" i="47"/>
  <c r="S105" i="47"/>
  <c r="S38" i="47"/>
  <c r="S10" i="47"/>
  <c r="S112" i="47"/>
  <c r="S71" i="47"/>
  <c r="S31" i="47"/>
  <c r="S107" i="47"/>
  <c r="S95" i="47"/>
  <c r="S98" i="47"/>
  <c r="S97" i="47"/>
  <c r="S81" i="47"/>
  <c r="S57" i="47"/>
  <c r="S15" i="47"/>
  <c r="S99" i="47"/>
  <c r="S79" i="47"/>
  <c r="S117" i="47"/>
  <c r="S90" i="47"/>
  <c r="Q4" i="48"/>
  <c r="S2" i="47"/>
  <c r="Q7" i="48"/>
  <c r="Q13" i="48"/>
  <c r="Q21" i="48"/>
  <c r="Q5" i="48"/>
  <c r="Q20" i="48"/>
  <c r="Q11" i="48"/>
  <c r="Q18" i="48"/>
  <c r="Q6" i="48"/>
  <c r="Q12" i="48"/>
  <c r="Q17" i="48"/>
  <c r="Q15" i="48"/>
  <c r="Q19" i="48"/>
  <c r="Q10" i="48"/>
  <c r="Q8" i="48"/>
  <c r="Q9" i="48"/>
  <c r="Q16" i="48"/>
  <c r="Q22" i="48"/>
  <c r="Q14" i="48"/>
  <c r="Q3" i="48"/>
  <c r="Q2" i="48"/>
  <c r="C54" i="25"/>
  <c r="G27" i="20"/>
  <c r="E35" i="21" l="1"/>
  <c r="E31" i="21"/>
  <c r="C34" i="21"/>
  <c r="J33" i="25"/>
  <c r="B8" i="21" l="1"/>
  <c r="C28" i="46" s="1"/>
  <c r="B22" i="21"/>
  <c r="B23" i="46" s="1"/>
  <c r="C28" i="20" l="1"/>
  <c r="C12" i="20" a="1"/>
  <c r="C12" i="20" s="1"/>
  <c r="F61" i="41"/>
  <c r="F33" i="41"/>
  <c r="E28" i="20" a="1"/>
  <c r="F43" i="41"/>
  <c r="D22" i="21"/>
  <c r="H22" i="21"/>
  <c r="C22" i="21"/>
  <c r="F37" i="41"/>
  <c r="K5" i="24" a="1"/>
  <c r="K60" i="24" a="1"/>
  <c r="I8" i="23" a="1"/>
  <c r="K65" i="24" a="1"/>
  <c r="K37" i="24" a="1"/>
  <c r="K58" i="24" a="1"/>
  <c r="K73" i="24" a="1"/>
  <c r="I4" i="23" a="1"/>
  <c r="F28" i="41"/>
  <c r="F58" i="41"/>
  <c r="F51" i="41"/>
  <c r="G28" i="20"/>
  <c r="F64" i="41"/>
  <c r="F12" i="21" a="1"/>
  <c r="K19" i="24" a="1"/>
  <c r="K72" i="24" a="1"/>
  <c r="K70" i="24" a="1"/>
  <c r="K25" i="24" a="1"/>
  <c r="K114" i="24" a="1"/>
  <c r="K123" i="24" a="1"/>
  <c r="K27" i="24" a="1"/>
  <c r="K98" i="24" a="1"/>
  <c r="K118" i="24" a="1"/>
  <c r="K62" i="24" a="1"/>
  <c r="K109" i="24" a="1"/>
  <c r="F46" i="41"/>
  <c r="G22" i="21"/>
  <c r="F49" i="41"/>
  <c r="I13" i="23" a="1"/>
  <c r="K89" i="24" a="1"/>
  <c r="K9" i="24" a="1"/>
  <c r="K79" i="24" a="1"/>
  <c r="F22" i="21"/>
  <c r="K48" i="24" a="1"/>
  <c r="K105" i="24" a="1"/>
  <c r="I2" i="23" a="1"/>
  <c r="K16" i="24" a="1"/>
  <c r="F36" i="41"/>
  <c r="K111" i="24" a="1"/>
  <c r="F28" i="20"/>
  <c r="F44" i="41"/>
  <c r="F25" i="41" a="1"/>
  <c r="F50" i="41"/>
  <c r="F60" i="41"/>
  <c r="K64" i="24" a="1"/>
  <c r="K45" i="24" a="1"/>
  <c r="K130" i="24" a="1"/>
  <c r="K47" i="24" a="1"/>
  <c r="K10" i="24" a="1"/>
  <c r="K21" i="24" a="1"/>
  <c r="K67" i="24" a="1"/>
  <c r="K110" i="24" a="1"/>
  <c r="K11" i="24" a="1"/>
  <c r="F41" i="41"/>
  <c r="I22" i="21"/>
  <c r="F27" i="41"/>
  <c r="K28" i="24" a="1"/>
  <c r="K101" i="24" a="1"/>
  <c r="I20" i="23" a="1"/>
  <c r="K92" i="24" a="1"/>
  <c r="K117" i="24" a="1"/>
  <c r="K31" i="24" a="1"/>
  <c r="K81" i="24" a="1"/>
  <c r="K2" i="24" a="1"/>
  <c r="K75" i="24" a="1"/>
  <c r="K38" i="24" a="1"/>
  <c r="K39" i="24" a="1"/>
  <c r="K97" i="24" a="1"/>
  <c r="K42" i="24" a="1"/>
  <c r="K94" i="24" a="1"/>
  <c r="K91" i="24" a="1"/>
  <c r="K88" i="24" a="1"/>
  <c r="K54" i="24" a="1"/>
  <c r="K127" i="24" a="1"/>
  <c r="K71" i="24" a="1"/>
  <c r="K87" i="24" a="1"/>
  <c r="K96" i="24" a="1"/>
  <c r="E22" i="21"/>
  <c r="M27" i="24" a="1"/>
  <c r="F42" i="41"/>
  <c r="M122" i="24" a="1"/>
  <c r="M78" i="24" a="1"/>
  <c r="M34" i="24" a="1"/>
  <c r="M125" i="24" a="1"/>
  <c r="M60" i="24" a="1"/>
  <c r="K8" i="24" a="1"/>
  <c r="M126" i="24" a="1"/>
  <c r="K15" i="24" a="1"/>
  <c r="M79" i="24" a="1"/>
  <c r="M66" i="24" a="1"/>
  <c r="K119" i="24" a="1"/>
  <c r="K108" i="24" a="1"/>
  <c r="I9" i="23" a="1"/>
  <c r="K52" i="24" a="1"/>
  <c r="K22" i="24" a="1"/>
  <c r="K18" i="24" a="1"/>
  <c r="K44" i="24" a="1"/>
  <c r="K86" i="24" a="1"/>
  <c r="M90" i="24" a="1"/>
  <c r="M4" i="24" a="1"/>
  <c r="M33" i="24" a="1"/>
  <c r="M9" i="24" a="1"/>
  <c r="M29" i="24" a="1"/>
  <c r="I3" i="23" a="1"/>
  <c r="K61" i="24" a="1"/>
  <c r="M42" i="24" a="1"/>
  <c r="M17" i="24" a="1"/>
  <c r="K63" i="24" a="1"/>
  <c r="K24" i="24" a="1"/>
  <c r="K113" i="24" a="1"/>
  <c r="K122" i="24" a="1"/>
  <c r="K124" i="24" a="1"/>
  <c r="K49" i="24" a="1"/>
  <c r="K26" i="24" a="1"/>
  <c r="M14" i="24" a="1"/>
  <c r="F35" i="41"/>
  <c r="M8" i="24" a="1"/>
  <c r="K112" i="24" a="1"/>
  <c r="F52" i="41"/>
  <c r="K51" i="24" a="1"/>
  <c r="K99" i="24" a="1"/>
  <c r="M101" i="24" a="1"/>
  <c r="M50" i="24" a="1"/>
  <c r="I21" i="23" a="1"/>
  <c r="M114" i="24" a="1"/>
  <c r="M55" i="24" a="1"/>
  <c r="M43" i="24" a="1"/>
  <c r="M52" i="24" a="1"/>
  <c r="E28" i="46" a="1"/>
  <c r="M65" i="24" a="1"/>
  <c r="M113" i="24" a="1"/>
  <c r="M54" i="24" a="1"/>
  <c r="F63" i="41"/>
  <c r="M106" i="24" a="1"/>
  <c r="K29" i="24" a="1"/>
  <c r="M97" i="24" a="1"/>
  <c r="I6" i="23" a="1"/>
  <c r="K23" i="24" a="1"/>
  <c r="K14" i="24" a="1"/>
  <c r="K125" i="24" a="1"/>
  <c r="I15" i="23" a="1"/>
  <c r="K82" i="24" a="1"/>
  <c r="K20" i="24" a="1"/>
  <c r="K17" i="24" a="1"/>
  <c r="M72" i="24" a="1"/>
  <c r="F48" i="41"/>
  <c r="F47" i="41"/>
  <c r="K102" i="24" a="1"/>
  <c r="I16" i="23" a="1"/>
  <c r="M28" i="24" a="1"/>
  <c r="M59" i="24" a="1"/>
  <c r="I17" i="23" a="1"/>
  <c r="I7" i="23" a="1"/>
  <c r="K41" i="24" a="1"/>
  <c r="M3" i="24" a="1"/>
  <c r="C8" i="21" a="1"/>
  <c r="K120" i="24" a="1"/>
  <c r="F30" i="41"/>
  <c r="I22" i="23" a="1"/>
  <c r="K43" i="24" a="1"/>
  <c r="M118" i="24" a="1"/>
  <c r="F56" i="41"/>
  <c r="F38" i="41"/>
  <c r="M127" i="24" a="1"/>
  <c r="M110" i="24" a="1"/>
  <c r="M92" i="24" a="1"/>
  <c r="M22" i="24" a="1"/>
  <c r="F57" i="41"/>
  <c r="K104" i="24" a="1"/>
  <c r="I19" i="23" a="1"/>
  <c r="M96" i="24" a="1"/>
  <c r="M2" i="24" a="1"/>
  <c r="K13" i="24" a="1"/>
  <c r="K33" i="24" a="1"/>
  <c r="K50" i="24" a="1"/>
  <c r="K106" i="24" a="1"/>
  <c r="I18" i="23" a="1"/>
  <c r="K116" i="24" a="1"/>
  <c r="K68" i="24" a="1"/>
  <c r="K12" i="24" a="1"/>
  <c r="M32" i="24" a="1"/>
  <c r="K115" i="24" a="1"/>
  <c r="K95" i="24" a="1"/>
  <c r="K4" i="24" a="1"/>
  <c r="M13" i="24" a="1"/>
  <c r="M37" i="24" a="1"/>
  <c r="F34" i="41"/>
  <c r="K35" i="24" a="1"/>
  <c r="K90" i="24" a="1"/>
  <c r="K85" i="24" a="1"/>
  <c r="K107" i="24" a="1"/>
  <c r="M86" i="24" a="1"/>
  <c r="M89" i="24" a="1"/>
  <c r="M46" i="24" a="1"/>
  <c r="M95" i="24" a="1"/>
  <c r="F31" i="41"/>
  <c r="K78" i="24" a="1"/>
  <c r="K128" i="24" a="1"/>
  <c r="K84" i="24" a="1"/>
  <c r="M82" i="24" a="1"/>
  <c r="M49" i="24" a="1"/>
  <c r="M121" i="24" a="1"/>
  <c r="M73" i="24" a="1"/>
  <c r="M25" i="24" a="1"/>
  <c r="M109" i="24" a="1"/>
  <c r="F54" i="41"/>
  <c r="M99" i="24" a="1"/>
  <c r="K80" i="24" a="1"/>
  <c r="K77" i="24" a="1"/>
  <c r="M23" i="24" a="1"/>
  <c r="M112" i="24" a="1"/>
  <c r="K103" i="24" a="1"/>
  <c r="I12" i="23" a="1"/>
  <c r="K100" i="24" a="1"/>
  <c r="K32" i="24" a="1"/>
  <c r="I5" i="23" a="1"/>
  <c r="K121" i="24" a="1"/>
  <c r="K93" i="24" a="1"/>
  <c r="I11" i="23" a="1"/>
  <c r="M47" i="24" a="1"/>
  <c r="M7" i="24" a="1"/>
  <c r="F55" i="41"/>
  <c r="M51" i="24" a="1"/>
  <c r="F62" i="41"/>
  <c r="M108" i="24" a="1"/>
  <c r="M21" i="24" a="1"/>
  <c r="M98" i="24" a="1"/>
  <c r="M6" i="24" a="1"/>
  <c r="K129" i="24" a="1"/>
  <c r="M87" i="24" a="1"/>
  <c r="K53" i="24" a="1"/>
  <c r="K69" i="24" a="1"/>
  <c r="K30" i="24" a="1"/>
  <c r="K40" i="24" a="1"/>
  <c r="F40" i="41"/>
  <c r="F26" i="41"/>
  <c r="M83" i="24" a="1"/>
  <c r="I14" i="23" a="1"/>
  <c r="M67" i="24" a="1"/>
  <c r="M38" i="24" a="1"/>
  <c r="M31" i="24" a="1"/>
  <c r="I10" i="23" a="1"/>
  <c r="M124" i="24" a="1"/>
  <c r="K57" i="24" a="1"/>
  <c r="K3" i="24" a="1"/>
  <c r="K7" i="24" a="1"/>
  <c r="M24" i="24" a="1"/>
  <c r="M85" i="24" a="1"/>
  <c r="K56" i="24" a="1"/>
  <c r="M53" i="24" a="1"/>
  <c r="M84" i="24" a="1"/>
  <c r="M30" i="24" a="1"/>
  <c r="K66" i="24" a="1"/>
  <c r="K46" i="24" a="1"/>
  <c r="K59" i="24" a="1"/>
  <c r="K34" i="24" a="1"/>
  <c r="K55" i="24" a="1"/>
  <c r="K83" i="24" a="1"/>
  <c r="K126" i="24" a="1"/>
  <c r="K76" i="24" a="1"/>
  <c r="K36" i="24" a="1"/>
  <c r="K6" i="24" a="1"/>
  <c r="K74" i="24" a="1"/>
  <c r="M76" i="24" a="1"/>
  <c r="M57" i="24" a="1"/>
  <c r="M19" i="24" a="1"/>
  <c r="M93" i="24" a="1"/>
  <c r="M74" i="24" a="1"/>
  <c r="M120" i="24" a="1"/>
  <c r="M18" i="24" a="1"/>
  <c r="M119" i="24" a="1"/>
  <c r="M117" i="24" a="1"/>
  <c r="M70" i="24" a="1"/>
  <c r="M64" i="24" a="1"/>
  <c r="M45" i="24" a="1"/>
  <c r="M56" i="24" a="1"/>
  <c r="M91" i="24" a="1"/>
  <c r="M107" i="24" a="1"/>
  <c r="M35" i="24" a="1"/>
  <c r="M44" i="24" a="1"/>
  <c r="M48" i="24" a="1"/>
  <c r="M77" i="24" a="1"/>
  <c r="M130" i="24" a="1"/>
  <c r="M94" i="24" a="1"/>
  <c r="M39" i="24" a="1"/>
  <c r="M116" i="24" a="1"/>
  <c r="M20" i="24" a="1"/>
  <c r="M69" i="24" a="1"/>
  <c r="M26" i="24" a="1"/>
  <c r="M80" i="24" a="1"/>
  <c r="M71" i="24" a="1"/>
  <c r="M63" i="24" a="1"/>
  <c r="M5" i="24" a="1"/>
  <c r="M12" i="24" a="1"/>
  <c r="M15" i="24" a="1"/>
  <c r="M103" i="24" a="1"/>
  <c r="M123" i="24" a="1"/>
  <c r="M68" i="24" a="1"/>
  <c r="M115" i="24" a="1"/>
  <c r="M36" i="24" a="1"/>
  <c r="M88" i="24" a="1"/>
  <c r="M75" i="24" a="1"/>
  <c r="M81" i="24" a="1"/>
  <c r="M105" i="24" a="1"/>
  <c r="M62" i="24" a="1"/>
  <c r="M58" i="24" a="1"/>
  <c r="M16" i="24" a="1"/>
  <c r="M128" i="24" a="1"/>
  <c r="M10" i="24" a="1"/>
  <c r="M61" i="24" a="1"/>
  <c r="M100" i="24" a="1"/>
  <c r="M102" i="24" a="1"/>
  <c r="M104" i="24" a="1"/>
  <c r="M11" i="24" a="1"/>
  <c r="M40" i="24" a="1"/>
  <c r="M129" i="24" a="1"/>
  <c r="M41" i="24" a="1"/>
  <c r="M111" i="24" a="1"/>
  <c r="M85" i="24" l="1"/>
  <c r="M36" i="24"/>
  <c r="M61" i="24"/>
  <c r="M112" i="24"/>
  <c r="M12" i="24"/>
  <c r="M13" i="24"/>
  <c r="M4" i="24"/>
  <c r="M100" i="24"/>
  <c r="M87" i="24"/>
  <c r="M57" i="24"/>
  <c r="M11" i="24"/>
  <c r="M56" i="24"/>
  <c r="M89" i="24"/>
  <c r="M40" i="24"/>
  <c r="M110" i="24"/>
  <c r="M66" i="24"/>
  <c r="M26" i="24"/>
  <c r="M17" i="24"/>
  <c r="M108" i="24"/>
  <c r="M75" i="24"/>
  <c r="M97" i="24"/>
  <c r="M120" i="24"/>
  <c r="M39" i="24"/>
  <c r="M37" i="24"/>
  <c r="M111" i="24"/>
  <c r="M24" i="24"/>
  <c r="M6" i="24"/>
  <c r="M51" i="24"/>
  <c r="M10" i="24"/>
  <c r="M95" i="24"/>
  <c r="M106" i="24"/>
  <c r="M96" i="24"/>
  <c r="M46" i="24"/>
  <c r="M15" i="24"/>
  <c r="M102" i="24"/>
  <c r="M18" i="24"/>
  <c r="M65" i="24"/>
  <c r="M35" i="24"/>
  <c r="M8" i="24"/>
  <c r="M55" i="24"/>
  <c r="M91" i="24"/>
  <c r="M59" i="24"/>
  <c r="M69" i="24"/>
  <c r="M94" i="24"/>
  <c r="M19" i="24"/>
  <c r="M81" i="24"/>
  <c r="M52" i="24"/>
  <c r="M7" i="24"/>
  <c r="M99" i="24"/>
  <c r="M71" i="24"/>
  <c r="K33" i="24"/>
  <c r="K96" i="24"/>
  <c r="K57" i="24"/>
  <c r="K34" i="24"/>
  <c r="K11" i="24"/>
  <c r="K21" i="24"/>
  <c r="K122" i="24"/>
  <c r="K83" i="24"/>
  <c r="K37" i="24"/>
  <c r="K19" i="24"/>
  <c r="K93" i="24"/>
  <c r="I4" i="23"/>
  <c r="K76" i="24"/>
  <c r="K129" i="24"/>
  <c r="K55" i="24"/>
  <c r="K77" i="24"/>
  <c r="K99" i="24"/>
  <c r="I5" i="23"/>
  <c r="K80" i="24"/>
  <c r="K118" i="24"/>
  <c r="M123" i="24"/>
  <c r="I11" i="23"/>
  <c r="K92" i="24"/>
  <c r="K39" i="24"/>
  <c r="M101" i="24"/>
  <c r="M74" i="24"/>
  <c r="M78" i="24"/>
  <c r="M119" i="24"/>
  <c r="M22" i="24"/>
  <c r="K124" i="24"/>
  <c r="K79" i="24"/>
  <c r="K62" i="24"/>
  <c r="M122" i="24"/>
  <c r="I18" i="23"/>
  <c r="K59" i="24"/>
  <c r="F25" i="41"/>
  <c r="I19" i="23"/>
  <c r="M84" i="24"/>
  <c r="K65" i="24"/>
  <c r="K58" i="24"/>
  <c r="I3" i="23"/>
  <c r="K30" i="24"/>
  <c r="I12" i="23"/>
  <c r="K10" i="24"/>
  <c r="K52" i="24"/>
  <c r="M67" i="24"/>
  <c r="M107" i="24"/>
  <c r="M125" i="24"/>
  <c r="K53" i="24"/>
  <c r="M31" i="24"/>
  <c r="M23" i="24"/>
  <c r="K8" i="24"/>
  <c r="K5" i="24"/>
  <c r="K126" i="24"/>
  <c r="K56" i="24"/>
  <c r="K66" i="24"/>
  <c r="K42" i="24"/>
  <c r="M63" i="24"/>
  <c r="M98" i="24"/>
  <c r="M116" i="24"/>
  <c r="K125" i="24"/>
  <c r="M60" i="24"/>
  <c r="K3" i="24"/>
  <c r="K46" i="24"/>
  <c r="K63" i="24"/>
  <c r="I10" i="23"/>
  <c r="K119" i="24"/>
  <c r="M121" i="24"/>
  <c r="M70" i="24"/>
  <c r="M47" i="24"/>
  <c r="K113" i="24"/>
  <c r="K111" i="24"/>
  <c r="I21" i="23"/>
  <c r="K105" i="24"/>
  <c r="K89" i="24"/>
  <c r="M118" i="24"/>
  <c r="M38" i="24"/>
  <c r="M128" i="24"/>
  <c r="M82" i="24"/>
  <c r="K2" i="24"/>
  <c r="K40" i="24"/>
  <c r="K54" i="24"/>
  <c r="K27" i="24"/>
  <c r="I6" i="23"/>
  <c r="I15" i="23"/>
  <c r="K15" i="24"/>
  <c r="K17" i="24"/>
  <c r="M21" i="24"/>
  <c r="M80" i="24"/>
  <c r="M43" i="24"/>
  <c r="M33" i="24"/>
  <c r="K84" i="24"/>
  <c r="M3" i="24"/>
  <c r="M32" i="24"/>
  <c r="E28" i="20"/>
  <c r="M114" i="24"/>
  <c r="M127" i="24"/>
  <c r="E28" i="46"/>
  <c r="K75" i="24"/>
  <c r="K71" i="24"/>
  <c r="K127" i="24"/>
  <c r="K97" i="24"/>
  <c r="K109" i="24"/>
  <c r="K4" i="24"/>
  <c r="K103" i="24"/>
  <c r="K44" i="24"/>
  <c r="M130" i="24"/>
  <c r="M48" i="24"/>
  <c r="M58" i="24"/>
  <c r="M27" i="24"/>
  <c r="I8" i="23"/>
  <c r="K86" i="24"/>
  <c r="C8" i="21"/>
  <c r="M44" i="24"/>
  <c r="K120" i="24"/>
  <c r="K43" i="24"/>
  <c r="K74" i="24"/>
  <c r="K23" i="24"/>
  <c r="M115" i="24"/>
  <c r="K67" i="24"/>
  <c r="K107" i="24"/>
  <c r="I2" i="23"/>
  <c r="M76" i="24"/>
  <c r="M54" i="24"/>
  <c r="K90" i="24"/>
  <c r="M104" i="24"/>
  <c r="M92" i="24"/>
  <c r="I17" i="23"/>
  <c r="K60" i="24"/>
  <c r="K115" i="24"/>
  <c r="M16" i="24"/>
  <c r="M68" i="24"/>
  <c r="M90" i="24"/>
  <c r="M30" i="24"/>
  <c r="M103" i="24"/>
  <c r="M20" i="24"/>
  <c r="M25" i="24"/>
  <c r="K104" i="24"/>
  <c r="K6" i="24"/>
  <c r="K85" i="24"/>
  <c r="M45" i="24"/>
  <c r="M64" i="24"/>
  <c r="K14" i="24"/>
  <c r="M29" i="24"/>
  <c r="M88" i="24"/>
  <c r="M79" i="24"/>
  <c r="K28" i="24"/>
  <c r="K100" i="24"/>
  <c r="K13" i="24"/>
  <c r="K70" i="24"/>
  <c r="K64" i="24"/>
  <c r="K68" i="24"/>
  <c r="K45" i="24"/>
  <c r="K116" i="24"/>
  <c r="M49" i="24"/>
  <c r="M109" i="24"/>
  <c r="M124" i="24"/>
  <c r="M117" i="24"/>
  <c r="M72" i="24"/>
  <c r="M53" i="24"/>
  <c r="M129" i="24"/>
  <c r="M83" i="24"/>
  <c r="M105" i="24"/>
  <c r="M50" i="24"/>
  <c r="K35" i="24"/>
  <c r="K38" i="24"/>
  <c r="K24" i="24"/>
  <c r="I20" i="23"/>
  <c r="I22" i="23"/>
  <c r="K26" i="24"/>
  <c r="K117" i="24"/>
  <c r="K102" i="24"/>
  <c r="M41" i="24"/>
  <c r="M28" i="24"/>
  <c r="M5" i="24"/>
  <c r="M9" i="24"/>
  <c r="M42" i="24"/>
  <c r="M34" i="24"/>
  <c r="K121" i="24"/>
  <c r="I21" i="46" a="1"/>
  <c r="I21" i="46" s="1"/>
  <c r="F30" i="21"/>
  <c r="M86" i="24"/>
  <c r="M73" i="24"/>
  <c r="M62" i="24"/>
  <c r="I13" i="23"/>
  <c r="K25" i="24"/>
  <c r="M14" i="24"/>
  <c r="K22" i="24"/>
  <c r="M113" i="24"/>
  <c r="K51" i="24"/>
  <c r="K130" i="24"/>
  <c r="M126" i="24"/>
  <c r="M77" i="24"/>
  <c r="K87" i="24"/>
  <c r="K114" i="24"/>
  <c r="M93" i="24"/>
  <c r="M2" i="24"/>
  <c r="K91" i="24"/>
  <c r="K78" i="24"/>
  <c r="I14" i="23"/>
  <c r="K98" i="24"/>
  <c r="K9" i="24"/>
  <c r="I9" i="23"/>
  <c r="K94" i="24"/>
  <c r="K12" i="24"/>
  <c r="I8" i="46"/>
  <c r="K7" i="24"/>
  <c r="K73" i="24"/>
  <c r="K101" i="24"/>
  <c r="K29" i="24"/>
  <c r="K81" i="24"/>
  <c r="K32" i="24"/>
  <c r="K47" i="24"/>
  <c r="K112" i="24"/>
  <c r="K82" i="24"/>
  <c r="K16" i="24"/>
  <c r="K36" i="24"/>
  <c r="K72" i="24"/>
  <c r="K61" i="24"/>
  <c r="K108" i="24"/>
  <c r="K123" i="24"/>
  <c r="K88" i="24"/>
  <c r="K110" i="24"/>
  <c r="K128" i="24"/>
  <c r="K49" i="24"/>
  <c r="K18" i="24"/>
  <c r="K31" i="24"/>
  <c r="K69" i="24"/>
  <c r="K20" i="24"/>
  <c r="I7" i="23"/>
  <c r="I16" i="23"/>
  <c r="K48" i="24"/>
  <c r="K106" i="24"/>
  <c r="K95" i="24"/>
  <c r="K41" i="24"/>
  <c r="K50" i="24"/>
  <c r="I2" i="22" a="1"/>
  <c r="I2" i="22" s="1"/>
  <c r="I15" i="46" a="1"/>
  <c r="I15" i="46" s="1"/>
  <c r="I18" i="46" a="1"/>
  <c r="I18" i="46" s="1"/>
  <c r="I5" i="46" a="1"/>
  <c r="I5" i="46" s="1"/>
  <c r="F12" i="21"/>
  <c r="E37" i="20" s="1" a="1"/>
  <c r="E37" i="20" s="1"/>
  <c r="J26" i="25"/>
  <c r="J27" i="25"/>
  <c r="J28" i="25"/>
  <c r="J29" i="25"/>
  <c r="J30" i="25"/>
  <c r="J31" i="25"/>
  <c r="J32" i="25"/>
  <c r="J25" i="25"/>
  <c r="J14" i="25" a="1"/>
  <c r="J14" i="25" s="1"/>
  <c r="J15" i="25" a="1"/>
  <c r="J15" i="25" s="1"/>
  <c r="J16" i="25" a="1"/>
  <c r="J16" i="25" s="1"/>
  <c r="J17" i="25" a="1"/>
  <c r="J17" i="25" s="1"/>
  <c r="J18" i="25" a="1"/>
  <c r="J18" i="25" s="1"/>
  <c r="D33" i="45"/>
  <c r="D13" i="45"/>
  <c r="C35" i="21"/>
  <c r="F35" i="21"/>
  <c r="C11" i="13"/>
  <c r="E30" i="46"/>
  <c r="E8" i="21" a="1"/>
  <c r="F30" i="46"/>
  <c r="F28" i="46"/>
  <c r="J27" i="21"/>
  <c r="D8" i="21" a="1"/>
  <c r="J22" i="21"/>
  <c r="L129" i="24" l="1"/>
  <c r="L128" i="24"/>
  <c r="L126" i="24"/>
  <c r="D30" i="21"/>
  <c r="L127" i="24"/>
  <c r="L130" i="24"/>
  <c r="J12" i="20"/>
  <c r="G37" i="20" a="1"/>
  <c r="G37" i="20" s="1"/>
  <c r="G38" i="20" a="1"/>
  <c r="G38" i="20" s="1"/>
  <c r="G46" i="20" a="1"/>
  <c r="G46" i="20" s="1"/>
  <c r="G47" i="20" a="1"/>
  <c r="G47" i="20" s="1"/>
  <c r="G40" i="20" a="1"/>
  <c r="G40" i="20" s="1"/>
  <c r="G48" i="20" a="1"/>
  <c r="G48" i="20" s="1"/>
  <c r="G41" i="20" a="1"/>
  <c r="G41" i="20" s="1"/>
  <c r="G49" i="20" a="1"/>
  <c r="G49" i="20" s="1"/>
  <c r="G42" i="20" a="1"/>
  <c r="G42" i="20" s="1"/>
  <c r="G50" i="20" a="1"/>
  <c r="G50" i="20" s="1"/>
  <c r="G43" i="20" a="1"/>
  <c r="G43" i="20" s="1"/>
  <c r="G51" i="20" a="1"/>
  <c r="G51" i="20" s="1"/>
  <c r="G44" i="20" a="1"/>
  <c r="G44" i="20" s="1"/>
  <c r="G52" i="20" a="1"/>
  <c r="G52" i="20" s="1"/>
  <c r="G45" i="20" a="1"/>
  <c r="G45" i="20" s="1"/>
  <c r="G53" i="20" a="1"/>
  <c r="G53" i="20" s="1"/>
  <c r="G39" i="20" a="1"/>
  <c r="G39" i="20" s="1"/>
  <c r="F37" i="20" a="1"/>
  <c r="F37" i="20" s="1"/>
  <c r="F43" i="20" a="1"/>
  <c r="F43" i="20" s="1"/>
  <c r="F51" i="20" a="1"/>
  <c r="F51" i="20" s="1"/>
  <c r="F44" i="20" a="1"/>
  <c r="F44" i="20" s="1"/>
  <c r="F52" i="20" a="1"/>
  <c r="F52" i="20" s="1"/>
  <c r="F45" i="20" a="1"/>
  <c r="F45" i="20" s="1"/>
  <c r="F53" i="20" a="1"/>
  <c r="F53" i="20" s="1"/>
  <c r="F38" i="20" a="1"/>
  <c r="F38" i="20" s="1"/>
  <c r="F46" i="20" a="1"/>
  <c r="F46" i="20" s="1"/>
  <c r="F39" i="20" a="1"/>
  <c r="F39" i="20" s="1"/>
  <c r="F47" i="20" a="1"/>
  <c r="F47" i="20" s="1"/>
  <c r="F40" i="20" a="1"/>
  <c r="F40" i="20" s="1"/>
  <c r="F48" i="20" a="1"/>
  <c r="F48" i="20" s="1"/>
  <c r="F41" i="20" a="1"/>
  <c r="F41" i="20" s="1"/>
  <c r="F49" i="20" a="1"/>
  <c r="F49" i="20" s="1"/>
  <c r="F42" i="20" a="1"/>
  <c r="F42" i="20" s="1"/>
  <c r="F50" i="20" a="1"/>
  <c r="F50" i="20" s="1"/>
  <c r="E38" i="20" a="1"/>
  <c r="E38" i="20" s="1"/>
  <c r="E46" i="20" a="1"/>
  <c r="E46" i="20" s="1"/>
  <c r="E47" i="20" a="1"/>
  <c r="E47" i="20" s="1"/>
  <c r="E48" i="20" a="1"/>
  <c r="E48" i="20" s="1"/>
  <c r="E41" i="20" a="1"/>
  <c r="E41" i="20" s="1"/>
  <c r="E49" i="20" a="1"/>
  <c r="E49" i="20" s="1"/>
  <c r="E42" i="20" a="1"/>
  <c r="E42" i="20" s="1"/>
  <c r="E50" i="20" a="1"/>
  <c r="E50" i="20" s="1"/>
  <c r="E39" i="20" a="1"/>
  <c r="E39" i="20" s="1"/>
  <c r="E40" i="20" a="1"/>
  <c r="E40" i="20" s="1"/>
  <c r="E43" i="20" a="1"/>
  <c r="E43" i="20" s="1"/>
  <c r="E51" i="20" a="1"/>
  <c r="E51" i="20" s="1"/>
  <c r="E44" i="20" a="1"/>
  <c r="E44" i="20" s="1"/>
  <c r="E52" i="20" a="1"/>
  <c r="E52" i="20" s="1"/>
  <c r="E45" i="20" a="1"/>
  <c r="E45" i="20" s="1"/>
  <c r="E53" i="20" a="1"/>
  <c r="E53" i="20" s="1"/>
  <c r="C53" i="20" a="1"/>
  <c r="C53" i="20" s="1"/>
  <c r="C52" i="20" a="1"/>
  <c r="C52" i="20" s="1"/>
  <c r="C38" i="20" a="1"/>
  <c r="C38" i="20" s="1"/>
  <c r="C39" i="20" a="1"/>
  <c r="C39" i="20" s="1"/>
  <c r="C47" i="20" a="1"/>
  <c r="C47" i="20" s="1"/>
  <c r="C40" i="20" a="1"/>
  <c r="C40" i="20" s="1"/>
  <c r="C48" i="20" a="1"/>
  <c r="C48" i="20" s="1"/>
  <c r="C44" i="20" a="1"/>
  <c r="C44" i="20" s="1"/>
  <c r="C41" i="20" a="1"/>
  <c r="C41" i="20" s="1"/>
  <c r="C49" i="20" a="1"/>
  <c r="C49" i="20" s="1"/>
  <c r="C42" i="20" a="1"/>
  <c r="C42" i="20" s="1"/>
  <c r="C50" i="20" a="1"/>
  <c r="C50" i="20" s="1"/>
  <c r="C45" i="20" a="1"/>
  <c r="C45" i="20" s="1"/>
  <c r="C43" i="20" a="1"/>
  <c r="C43" i="20" s="1"/>
  <c r="C51" i="20" a="1"/>
  <c r="C51" i="20" s="1"/>
  <c r="C46" i="20" a="1"/>
  <c r="C46" i="20" s="1"/>
  <c r="C37" i="20" a="1"/>
  <c r="C37" i="20" s="1"/>
  <c r="G25" i="46" a="1"/>
  <c r="G25" i="46" s="1"/>
  <c r="J12" i="46" a="1"/>
  <c r="J12" i="46" s="1"/>
  <c r="E8" i="21"/>
  <c r="D8" i="21"/>
  <c r="C10" i="11"/>
  <c r="E29" i="46" a="1"/>
  <c r="F29" i="46"/>
  <c r="B33" i="46" l="1"/>
  <c r="E29" i="46"/>
  <c r="C29" i="46"/>
  <c r="C12" i="46" a="1"/>
  <c r="C12" i="46" s="1"/>
  <c r="C24" i="11"/>
  <c r="F8" i="21"/>
  <c r="C52" i="46" l="1" a="1"/>
  <c r="C52" i="46" s="1"/>
  <c r="E52" i="46" a="1"/>
  <c r="E52" i="46" s="1"/>
  <c r="F52" i="46" a="1"/>
  <c r="F52" i="46" s="1"/>
  <c r="E53" i="46" a="1"/>
  <c r="E53" i="46" s="1"/>
  <c r="F53" i="46" a="1"/>
  <c r="F53" i="46" s="1"/>
  <c r="G53" i="46" a="1"/>
  <c r="G53" i="46" s="1"/>
  <c r="G52" i="46" a="1"/>
  <c r="G52" i="46" s="1"/>
  <c r="C53" i="46" a="1"/>
  <c r="C53" i="46" s="1"/>
  <c r="C50" i="46" a="1"/>
  <c r="C50" i="46" s="1"/>
  <c r="E50" i="46" a="1"/>
  <c r="E50" i="46" s="1"/>
  <c r="F50" i="46" a="1"/>
  <c r="F50" i="46" s="1"/>
  <c r="C51" i="46" a="1"/>
  <c r="C51" i="46" s="1"/>
  <c r="G51" i="46" a="1"/>
  <c r="G51" i="46" s="1"/>
  <c r="E51" i="46" a="1"/>
  <c r="E51" i="46" s="1"/>
  <c r="F51" i="46" a="1"/>
  <c r="F51" i="46" s="1"/>
  <c r="G50" i="46" a="1"/>
  <c r="G50" i="46" s="1"/>
  <c r="F39" i="46" a="1"/>
  <c r="F39" i="46" s="1"/>
  <c r="F47" i="46" a="1"/>
  <c r="F47" i="46" s="1"/>
  <c r="F40" i="46" a="1"/>
  <c r="F40" i="46" s="1"/>
  <c r="F49" i="46" a="1"/>
  <c r="F49" i="46" s="1"/>
  <c r="F45" i="46" a="1"/>
  <c r="F45" i="46" s="1"/>
  <c r="F48" i="46" a="1"/>
  <c r="F48" i="46" s="1"/>
  <c r="F44" i="46" a="1"/>
  <c r="F44" i="46" s="1"/>
  <c r="F41" i="46" a="1"/>
  <c r="F41" i="46" s="1"/>
  <c r="F46" i="46" a="1"/>
  <c r="F46" i="46" s="1"/>
  <c r="F42" i="46" a="1"/>
  <c r="F42" i="46" s="1"/>
  <c r="F43" i="46" a="1"/>
  <c r="F43" i="46" s="1"/>
  <c r="F38" i="46" a="1"/>
  <c r="F38" i="46" s="1"/>
  <c r="E39" i="46" a="1"/>
  <c r="E39" i="46" s="1"/>
  <c r="E40" i="46" a="1"/>
  <c r="E40" i="46" s="1"/>
  <c r="E48" i="46" a="1"/>
  <c r="E48" i="46" s="1"/>
  <c r="E45" i="46" a="1"/>
  <c r="E45" i="46" s="1"/>
  <c r="E47" i="46" a="1"/>
  <c r="E47" i="46" s="1"/>
  <c r="E41" i="46" a="1"/>
  <c r="E41" i="46" s="1"/>
  <c r="E49" i="46" a="1"/>
  <c r="E49" i="46" s="1"/>
  <c r="E44" i="46" a="1"/>
  <c r="E44" i="46" s="1"/>
  <c r="E46" i="46" a="1"/>
  <c r="E46" i="46" s="1"/>
  <c r="E42" i="46" a="1"/>
  <c r="E42" i="46" s="1"/>
  <c r="E43" i="46" a="1"/>
  <c r="E43" i="46" s="1"/>
  <c r="E38" i="46" a="1"/>
  <c r="E38" i="46" s="1"/>
  <c r="C39" i="46" a="1"/>
  <c r="C39" i="46" s="1"/>
  <c r="C41" i="46" a="1"/>
  <c r="C41" i="46" s="1"/>
  <c r="C49" i="46" a="1"/>
  <c r="C49" i="46" s="1"/>
  <c r="C44" i="46" a="1"/>
  <c r="C44" i="46" s="1"/>
  <c r="C47" i="46" a="1"/>
  <c r="C47" i="46" s="1"/>
  <c r="C48" i="46" a="1"/>
  <c r="C48" i="46" s="1"/>
  <c r="C42" i="46" a="1"/>
  <c r="C42" i="46" s="1"/>
  <c r="C43" i="46" a="1"/>
  <c r="C43" i="46" s="1"/>
  <c r="C45" i="46" a="1"/>
  <c r="C45" i="46" s="1"/>
  <c r="C46" i="46" a="1"/>
  <c r="C46" i="46" s="1"/>
  <c r="C40" i="46" a="1"/>
  <c r="C40" i="46" s="1"/>
  <c r="C38" i="46" a="1"/>
  <c r="C38" i="46" s="1"/>
  <c r="U21" i="21"/>
  <c r="B16" i="21" l="1"/>
  <c r="D48" i="41"/>
  <c r="D51" i="41"/>
  <c r="D34" i="41"/>
  <c r="D41" i="41"/>
  <c r="D40" i="41"/>
  <c r="D62" i="41"/>
  <c r="D64" i="41"/>
  <c r="D16" i="21"/>
  <c r="E34" i="41" a="1"/>
  <c r="E50" i="41" a="1"/>
  <c r="D30" i="41"/>
  <c r="D28" i="41"/>
  <c r="E49" i="41" a="1"/>
  <c r="E61" i="41" a="1"/>
  <c r="E26" i="41" a="1"/>
  <c r="D31" i="41"/>
  <c r="D49" i="41"/>
  <c r="E48" i="41" a="1"/>
  <c r="E41" i="41" a="1"/>
  <c r="E57" i="41" a="1"/>
  <c r="D35" i="41"/>
  <c r="D60" i="41"/>
  <c r="D47" i="41"/>
  <c r="E55" i="41" a="1"/>
  <c r="E43" i="41" a="1"/>
  <c r="D26" i="41"/>
  <c r="D36" i="41"/>
  <c r="E46" i="41" a="1"/>
  <c r="E44" i="41" a="1"/>
  <c r="E36" i="41" a="1"/>
  <c r="E54" i="41" a="1"/>
  <c r="E35" i="41" a="1"/>
  <c r="E62" i="41" a="1"/>
  <c r="D44" i="41"/>
  <c r="D61" i="41"/>
  <c r="E30" i="41" a="1"/>
  <c r="D57" i="41"/>
  <c r="D58" i="41"/>
  <c r="E58" i="41" a="1"/>
  <c r="E42" i="41" a="1"/>
  <c r="E37" i="41" a="1"/>
  <c r="E56" i="41" a="1"/>
  <c r="D25" i="41"/>
  <c r="D37" i="41"/>
  <c r="D27" i="41"/>
  <c r="E52" i="41" a="1"/>
  <c r="E47" i="41" a="1"/>
  <c r="D33" i="41"/>
  <c r="D46" i="41"/>
  <c r="D54" i="41"/>
  <c r="D52" i="41"/>
  <c r="D38" i="41"/>
  <c r="E51" i="41" a="1"/>
  <c r="D63" i="41"/>
  <c r="E28" i="41" a="1"/>
  <c r="D43" i="41"/>
  <c r="E63" i="41" a="1"/>
  <c r="D55" i="41"/>
  <c r="C16" i="21"/>
  <c r="E27" i="41" a="1"/>
  <c r="E25" i="41" a="1"/>
  <c r="E16" i="21"/>
  <c r="D42" i="41"/>
  <c r="E64" i="41" a="1"/>
  <c r="D56" i="41"/>
  <c r="E33" i="41" a="1"/>
  <c r="D50" i="41"/>
  <c r="E31" i="41" a="1"/>
  <c r="E38" i="41" a="1"/>
  <c r="E40" i="41" a="1"/>
  <c r="E60" i="41" a="1"/>
  <c r="E60" i="41" l="1"/>
  <c r="E50" i="41"/>
  <c r="E41" i="41"/>
  <c r="E31" i="41"/>
  <c r="E58" i="41"/>
  <c r="E49" i="41"/>
  <c r="E40" i="41"/>
  <c r="E30" i="41"/>
  <c r="E57" i="41"/>
  <c r="E48" i="41"/>
  <c r="E38" i="41"/>
  <c r="E28" i="41"/>
  <c r="E56" i="41"/>
  <c r="E47" i="41"/>
  <c r="E37" i="41"/>
  <c r="E27" i="41"/>
  <c r="E64" i="41"/>
  <c r="E55" i="41"/>
  <c r="E46" i="41"/>
  <c r="E36" i="41"/>
  <c r="E26" i="41"/>
  <c r="E63" i="41"/>
  <c r="E54" i="41"/>
  <c r="E44" i="41"/>
  <c r="E35" i="41"/>
  <c r="E25" i="41"/>
  <c r="E62" i="41"/>
  <c r="E52" i="41"/>
  <c r="E43" i="41"/>
  <c r="E34" i="41"/>
  <c r="E61" i="41"/>
  <c r="E51" i="41"/>
  <c r="E42" i="41"/>
  <c r="E33" i="41"/>
  <c r="C12" i="41"/>
  <c r="G36" i="46" l="1"/>
  <c r="G24" i="20"/>
  <c r="G35" i="20"/>
  <c r="F37" i="46" l="1"/>
  <c r="F26" i="46"/>
  <c r="F31" i="21"/>
  <c r="F36" i="20" l="1"/>
  <c r="F25" i="20"/>
  <c r="J17" i="23"/>
  <c r="L11" i="24"/>
  <c r="J10" i="23"/>
  <c r="L116" i="24"/>
  <c r="L101" i="24"/>
  <c r="G45" i="46" s="1" a="1"/>
  <c r="G45" i="46" s="1"/>
  <c r="L68" i="24"/>
  <c r="L18" i="24"/>
  <c r="L39" i="24"/>
  <c r="L107" i="24"/>
  <c r="L37" i="24"/>
  <c r="L98" i="24"/>
  <c r="L105" i="24"/>
  <c r="L113" i="24"/>
  <c r="G47" i="46" s="1" a="1"/>
  <c r="G47" i="46" s="1"/>
  <c r="L35" i="24"/>
  <c r="L109" i="24"/>
  <c r="L124" i="24"/>
  <c r="J7" i="23"/>
  <c r="L19" i="24"/>
  <c r="L91" i="24"/>
  <c r="L43" i="24"/>
  <c r="L76" i="24"/>
  <c r="L74" i="24"/>
  <c r="L90" i="24"/>
  <c r="L66" i="24"/>
  <c r="L28" i="24"/>
  <c r="J3" i="23"/>
  <c r="L104" i="24"/>
  <c r="L121" i="24"/>
  <c r="G49" i="46" s="1" a="1"/>
  <c r="G49" i="46" s="1"/>
  <c r="L82" i="24"/>
  <c r="L59" i="24"/>
  <c r="L51" i="24"/>
  <c r="L13" i="24"/>
  <c r="L110" i="24"/>
  <c r="L93" i="24"/>
  <c r="L34" i="24"/>
  <c r="L50" i="24"/>
  <c r="L100" i="24"/>
  <c r="L75" i="24"/>
  <c r="L99" i="24"/>
  <c r="L15" i="24"/>
  <c r="L52" i="24"/>
  <c r="L123" i="24"/>
  <c r="L29" i="24"/>
  <c r="J4" i="23"/>
  <c r="J13" i="23"/>
  <c r="L72" i="24"/>
  <c r="L73" i="24"/>
  <c r="L36" i="24"/>
  <c r="L88" i="24"/>
  <c r="L20" i="24"/>
  <c r="L87" i="24"/>
  <c r="L94" i="24"/>
  <c r="L77" i="24"/>
  <c r="L64" i="24"/>
  <c r="L23" i="24"/>
  <c r="L92" i="24"/>
  <c r="L83" i="24"/>
  <c r="L5" i="24"/>
  <c r="L61" i="24"/>
  <c r="L30" i="24"/>
  <c r="L14" i="24"/>
  <c r="J22" i="23"/>
  <c r="L12" i="24"/>
  <c r="L120" i="24"/>
  <c r="L65" i="24"/>
  <c r="L27" i="24"/>
  <c r="L111" i="24"/>
  <c r="G46" i="46" s="1" a="1"/>
  <c r="G46" i="46" s="1"/>
  <c r="L26" i="24"/>
  <c r="L78" i="24"/>
  <c r="L62" i="24"/>
  <c r="L69" i="24"/>
  <c r="J16" i="23"/>
  <c r="L7" i="24"/>
  <c r="J15" i="23"/>
  <c r="L31" i="24"/>
  <c r="L42" i="24"/>
  <c r="J5" i="23"/>
  <c r="L81" i="24"/>
  <c r="L89" i="24"/>
  <c r="J12" i="23"/>
  <c r="L118" i="24"/>
  <c r="G48" i="46" s="1" a="1"/>
  <c r="G48" i="46" s="1"/>
  <c r="L58" i="24"/>
  <c r="L6" i="24"/>
  <c r="L119" i="24"/>
  <c r="L95" i="24"/>
  <c r="L70" i="24"/>
  <c r="L47" i="24"/>
  <c r="J8" i="23"/>
  <c r="L9" i="24"/>
  <c r="L46" i="24"/>
  <c r="L44" i="24"/>
  <c r="L54" i="24"/>
  <c r="L122" i="24"/>
  <c r="J14" i="23"/>
  <c r="L8" i="24"/>
  <c r="L106" i="24"/>
  <c r="L114" i="24"/>
  <c r="J19" i="23"/>
  <c r="J11" i="23"/>
  <c r="L56" i="24"/>
  <c r="L103" i="24"/>
  <c r="L112" i="24"/>
  <c r="L57" i="24"/>
  <c r="L79" i="24"/>
  <c r="L25" i="24"/>
  <c r="L48" i="24"/>
  <c r="L32" i="24"/>
  <c r="L3" i="24"/>
  <c r="L24" i="24"/>
  <c r="L21" i="24"/>
  <c r="L4" i="24"/>
  <c r="L108" i="24"/>
  <c r="L115" i="24"/>
  <c r="L45" i="24"/>
  <c r="L71" i="24"/>
  <c r="L22" i="24"/>
  <c r="L60" i="24"/>
  <c r="J18" i="23"/>
  <c r="J21" i="23"/>
  <c r="L117" i="24"/>
  <c r="L41" i="24"/>
  <c r="L96" i="24"/>
  <c r="L86" i="24"/>
  <c r="L63" i="24"/>
  <c r="L85" i="24"/>
  <c r="L33" i="24"/>
  <c r="L16" i="24"/>
  <c r="L84" i="24"/>
  <c r="L38" i="24"/>
  <c r="J6" i="23"/>
  <c r="L53" i="24"/>
  <c r="L67" i="24"/>
  <c r="L97" i="24"/>
  <c r="G44" i="46" s="1" a="1"/>
  <c r="G44" i="46" s="1"/>
  <c r="L125" i="24"/>
  <c r="J9" i="23"/>
  <c r="J20" i="23"/>
  <c r="L55" i="24"/>
  <c r="L102" i="24"/>
  <c r="L80" i="24"/>
  <c r="L40" i="24"/>
  <c r="L49" i="24"/>
  <c r="L10" i="24"/>
  <c r="G39" i="46" s="1" a="1"/>
  <c r="G39" i="46" s="1"/>
  <c r="L17" i="24"/>
  <c r="J2" i="23"/>
  <c r="L2" i="24"/>
  <c r="G29" i="46"/>
  <c r="G28" i="46"/>
  <c r="G41" i="46" l="1" a="1"/>
  <c r="G41" i="46" s="1"/>
  <c r="G38" i="46" a="1"/>
  <c r="G38" i="46" s="1"/>
  <c r="G43" i="46" a="1"/>
  <c r="G43" i="46" s="1"/>
  <c r="G42" i="46" a="1"/>
  <c r="G42" i="46" s="1"/>
  <c r="G40" i="46" a="1"/>
  <c r="G40" i="46" s="1"/>
  <c r="C30" i="21"/>
  <c r="C31"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<sst xmlns="http://schemas.openxmlformats.org/spreadsheetml/2006/main" count="2314" uniqueCount="781">
  <si>
    <t>In England, NATCAN receives information from the National Cancer Registration and Analysis Service (NCRAS), part of the National Disease Registration Service (NDRS), NHS England. NDRS collects patient-level data from all NHS acute providers on patients with cancer using a range of national data-feeds. This includes the Cancer Registration datasets and the Cancer Outcomes and Services Dataset (COSD). COSD data are submitted to the NDRS monthly via Multidisciplinary Team electronic data collection systems. Clinical sign-off of data submitted to NDRS is not mandated in England. The information held in the registration dataset is compiled from a number of sources.</t>
  </si>
  <si>
    <t xml:space="preserve">These cells contain dropdown menus where the user can select NHS Trust and Data Quality Metric of interest </t>
  </si>
  <si>
    <t>Acronym</t>
  </si>
  <si>
    <t>Description</t>
  </si>
  <si>
    <t>IMD</t>
  </si>
  <si>
    <t>Index of Multiple Deprivation</t>
  </si>
  <si>
    <t>PS</t>
  </si>
  <si>
    <t>Performance status</t>
  </si>
  <si>
    <t>RCRD</t>
  </si>
  <si>
    <t>Rapid cancer registry data</t>
  </si>
  <si>
    <t>SCRD</t>
  </si>
  <si>
    <t>Standard cancer registry data</t>
  </si>
  <si>
    <r>
      <rPr>
        <sz val="11"/>
        <color rgb="FF000000"/>
        <rFont val="Calibri"/>
        <scheme val="minor"/>
      </rPr>
      <t xml:space="preserve">Please refer to our FAQs for </t>
    </r>
    <r>
      <rPr>
        <u/>
        <sz val="11"/>
        <color rgb="FF000000"/>
        <rFont val="Calibri"/>
        <scheme val="minor"/>
      </rPr>
      <t>current NDRS regional contacts</t>
    </r>
    <r>
      <rPr>
        <sz val="11"/>
        <color rgb="FF000000"/>
        <rFont val="Calibri"/>
        <scheme val="minor"/>
      </rPr>
      <t>.</t>
    </r>
  </si>
  <si>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</si>
  <si>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t>
  </si>
  <si>
    <t>Numerator:</t>
  </si>
  <si>
    <t>Denominator:</t>
  </si>
  <si>
    <t>Please select a NHS TRUST from the dropdown box below:</t>
  </si>
  <si>
    <t>Barnsley Hospital NHS Foundation Trust</t>
  </si>
  <si>
    <t>Data source:</t>
  </si>
  <si>
    <t xml:space="preserve">Data variable: </t>
  </si>
  <si>
    <t>Please select a DATA QUALITY metric from the dropdown box below:</t>
  </si>
  <si>
    <t>Target (%):</t>
  </si>
  <si>
    <t>Data quality metrics are reported as proportion complete and are calculated by dividing a numerator by a denominator, the definitions of which can be found to the right</t>
  </si>
  <si>
    <t>Time period over which data completeness evaluated:</t>
  </si>
  <si>
    <t>Denominator (N)</t>
  </si>
  <si>
    <t>Proportion complete (%)</t>
  </si>
  <si>
    <t>NATIONAL RESULTS</t>
  </si>
  <si>
    <t>NA</t>
  </si>
  <si>
    <t>NA: not applicable</t>
  </si>
  <si>
    <t>Trust name</t>
  </si>
  <si>
    <t>Airedale NHS Foundation Trust</t>
  </si>
  <si>
    <t xml:space="preserve"> </t>
  </si>
  <si>
    <t>TRUST</t>
  </si>
  <si>
    <t>CANCER ALLIANCE</t>
  </si>
  <si>
    <t>NATIONAL</t>
  </si>
  <si>
    <t>Unknown</t>
  </si>
  <si>
    <t>ETHNICITY</t>
  </si>
  <si>
    <t>White</t>
  </si>
  <si>
    <t>Mixed</t>
  </si>
  <si>
    <t>Asian/Asian British</t>
  </si>
  <si>
    <t>Black/Black British</t>
  </si>
  <si>
    <t>Other</t>
  </si>
  <si>
    <t>INDEX OF MULTIPLE DEPRIVATION QUINTILE</t>
  </si>
  <si>
    <t>STAGE AT DIAGNOSIS</t>
  </si>
  <si>
    <t>Stage I</t>
  </si>
  <si>
    <t>Stage II</t>
  </si>
  <si>
    <t>Stage IV</t>
  </si>
  <si>
    <t>PERFORMANCE STATUS</t>
  </si>
  <si>
    <t>This sheet links user selection on the dashboard with codes etc required to query data sheets and return values to dashboard</t>
  </si>
  <si>
    <t>SELECTED TRUST:</t>
  </si>
  <si>
    <t>cell name:</t>
  </si>
  <si>
    <t>cell value:</t>
  </si>
  <si>
    <t>Used in dashboard presenting patient characteristics</t>
  </si>
  <si>
    <t>selected_trust_ptc</t>
  </si>
  <si>
    <t>selected_trust_ptc_code</t>
  </si>
  <si>
    <t>selected_trust_ptc_ca_name</t>
  </si>
  <si>
    <t>selected_trust_ptc_ca_code</t>
  </si>
  <si>
    <t>SELECTED DATA QUALITY DOMAIN:</t>
  </si>
  <si>
    <t>KEY</t>
  </si>
  <si>
    <t>dropdown lists on dashboards</t>
  </si>
  <si>
    <t>dynamic text for front end worksheets</t>
  </si>
  <si>
    <t>range name:</t>
  </si>
  <si>
    <t>range value:</t>
  </si>
  <si>
    <t>ethnicity_p</t>
  </si>
  <si>
    <t>morph_p</t>
  </si>
  <si>
    <t>ps_p</t>
  </si>
  <si>
    <t>route_p</t>
  </si>
  <si>
    <t>stage_p</t>
  </si>
  <si>
    <t>description:</t>
  </si>
  <si>
    <t>Patient characteristic data quality worksheet - cell ref matrix</t>
  </si>
  <si>
    <t>trust_ptc_table</t>
  </si>
  <si>
    <t>Patient characteristic data quality - cell ref row names</t>
  </si>
  <si>
    <t>trust_ptc_rows</t>
  </si>
  <si>
    <t>Patient characteristicdata quality worksheet - cell ref col names</t>
  </si>
  <si>
    <t>trust_ptc_cols</t>
  </si>
  <si>
    <t>Patient characteristic data quality worksheet - cell ref col names</t>
  </si>
  <si>
    <t>national_ptc_row</t>
  </si>
  <si>
    <t>national_ptc_cols</t>
  </si>
  <si>
    <t>publication_year</t>
  </si>
  <si>
    <t>publication_quarter</t>
  </si>
  <si>
    <t xml:space="preserve">range name: </t>
  </si>
  <si>
    <t>Count of trusts and CA:</t>
  </si>
  <si>
    <t>n_trusts</t>
  </si>
  <si>
    <t>n_ca</t>
  </si>
  <si>
    <t>List of trusts, mapped to their cancer alliance - trust names listed alphabetically, so users can easlity find their trust of interest in the dropdwon menu</t>
  </si>
  <si>
    <t>table_trust_ca_assoc</t>
  </si>
  <si>
    <t>trusts_per_CA</t>
  </si>
  <si>
    <t>trust_name</t>
  </si>
  <si>
    <t>trust_code</t>
  </si>
  <si>
    <t>alliance_name</t>
  </si>
  <si>
    <t>alliance_code</t>
  </si>
  <si>
    <t>RCF</t>
  </si>
  <si>
    <t>West Yorkshire and Harrogate</t>
  </si>
  <si>
    <t>Cheshire and Merseyside</t>
  </si>
  <si>
    <t>Ashford and St Peter's Hospitals NHS Foundation Trust</t>
  </si>
  <si>
    <t>RTK</t>
  </si>
  <si>
    <t>Surrey and Sussex</t>
  </si>
  <si>
    <t>East Midlands</t>
  </si>
  <si>
    <t>Barking, Havering and Redbridge University Hospitals NHS Trust</t>
  </si>
  <si>
    <t>RF4</t>
  </si>
  <si>
    <t>North East London</t>
  </si>
  <si>
    <t>East of England - North</t>
  </si>
  <si>
    <t>RFF</t>
  </si>
  <si>
    <t>South Yorkshire and Bassetlaw</t>
  </si>
  <si>
    <t>East of England - South</t>
  </si>
  <si>
    <t>Barts Health NHS Trust</t>
  </si>
  <si>
    <t>R1H</t>
  </si>
  <si>
    <t>Greater Manchester</t>
  </si>
  <si>
    <t>Bedfordshire Hospitals NHS Foundation Trust</t>
  </si>
  <si>
    <t>RC9</t>
  </si>
  <si>
    <t>Blackpool Teaching Hospitals NHS Foundation Trust</t>
  </si>
  <si>
    <t>RXL</t>
  </si>
  <si>
    <t>Lancashire and South Cumbria</t>
  </si>
  <si>
    <t>Kent and Medway</t>
  </si>
  <si>
    <t>Bolton NHS Foundation Trust</t>
  </si>
  <si>
    <t>RMC</t>
  </si>
  <si>
    <t>Bradford Teaching Hospitals NHS Foundation Trust</t>
  </si>
  <si>
    <t>RAE</t>
  </si>
  <si>
    <t>North Central London</t>
  </si>
  <si>
    <t>Buckinghamshire Healthcare NHS Trust</t>
  </si>
  <si>
    <t>RXQ</t>
  </si>
  <si>
    <t>Thames Valley</t>
  </si>
  <si>
    <t>RWY</t>
  </si>
  <si>
    <t>Northern</t>
  </si>
  <si>
    <t>Cambridge University Hospitals NHS Foundation Trust</t>
  </si>
  <si>
    <t>RGT</t>
  </si>
  <si>
    <t>Peninsula</t>
  </si>
  <si>
    <t>Chelsea and Westminster Hospital NHS Foundation Trust</t>
  </si>
  <si>
    <t>RQM</t>
  </si>
  <si>
    <t>Chesterfield Royal Hospital NHS Foundation Trust</t>
  </si>
  <si>
    <t>RFS</t>
  </si>
  <si>
    <t>RJR</t>
  </si>
  <si>
    <t>South East London</t>
  </si>
  <si>
    <t>County Durham and Darlington NHS Foundation Trust</t>
  </si>
  <si>
    <t>RXP</t>
  </si>
  <si>
    <t>Croydon Health Services NHS Trust</t>
  </si>
  <si>
    <t>RJ6</t>
  </si>
  <si>
    <t>Dartford and Gravesham NHS Trust</t>
  </si>
  <si>
    <t>RN7</t>
  </si>
  <si>
    <t>Doncaster and Bassetlaw Teaching Hospitals NHS Foundation Trust</t>
  </si>
  <si>
    <t>RP5</t>
  </si>
  <si>
    <t>Wessex</t>
  </si>
  <si>
    <t>Dorset County Hospital NHS Foundation Trust</t>
  </si>
  <si>
    <t>RBD</t>
  </si>
  <si>
    <t>West Midlands</t>
  </si>
  <si>
    <t>East and North Hertfordshire NHS Trust</t>
  </si>
  <si>
    <t>RWH</t>
  </si>
  <si>
    <t>East Cheshire NHS Trust</t>
  </si>
  <si>
    <t>RJN</t>
  </si>
  <si>
    <t>Grand Total</t>
  </si>
  <si>
    <t>East Kent Hospitals University NHS Foundation Trust</t>
  </si>
  <si>
    <t>RVV</t>
  </si>
  <si>
    <t>East Lancashire Hospitals NHS Trust</t>
  </si>
  <si>
    <t>RXR</t>
  </si>
  <si>
    <t xml:space="preserve">Max number of trusts per CA: </t>
  </si>
  <si>
    <t>East Suffolk and North Essex NHS Foundation Trust</t>
  </si>
  <si>
    <t>RDE</t>
  </si>
  <si>
    <t>East Sussex Healthcare NHS Trust</t>
  </si>
  <si>
    <t>RXC</t>
  </si>
  <si>
    <t>RVR</t>
  </si>
  <si>
    <t>Frimley Health NHS Foundation Trust</t>
  </si>
  <si>
    <t>RDU</t>
  </si>
  <si>
    <t>Gateshead Health NHS Foundation Trust</t>
  </si>
  <si>
    <t>RR7</t>
  </si>
  <si>
    <t>George Eliot Hospital NHS Trust</t>
  </si>
  <si>
    <t>RLT</t>
  </si>
  <si>
    <t>Gloucestershire Hospitals NHS Foundation Trust</t>
  </si>
  <si>
    <t>RTE</t>
  </si>
  <si>
    <t>Great Western Hospitals NHS Foundation Trust</t>
  </si>
  <si>
    <t>RN3</t>
  </si>
  <si>
    <t>Guy's and St Thomas' NHS Foundation Trust</t>
  </si>
  <si>
    <t>RJ1</t>
  </si>
  <si>
    <t>Hampshire Hospitals NHS Foundation Trust</t>
  </si>
  <si>
    <t>RN5</t>
  </si>
  <si>
    <t>Harrogate and District NHS Foundation Trust</t>
  </si>
  <si>
    <t>RCD</t>
  </si>
  <si>
    <t>RQX</t>
  </si>
  <si>
    <t>Hull University Teaching Hospitals NHS Trust</t>
  </si>
  <si>
    <t>RWA</t>
  </si>
  <si>
    <t>Imperial College Healthcare NHS Trust</t>
  </si>
  <si>
    <t>RYJ</t>
  </si>
  <si>
    <t>R1F</t>
  </si>
  <si>
    <t>James Paget University Hospitals NHS Foundation Trust</t>
  </si>
  <si>
    <t>RGP</t>
  </si>
  <si>
    <t>Kettering General Hospital NHS Foundation Trust</t>
  </si>
  <si>
    <t>RNQ</t>
  </si>
  <si>
    <t>King's College Hospital NHS Foundation Trust</t>
  </si>
  <si>
    <t>RJZ</t>
  </si>
  <si>
    <t>Kingston Hospital NHS Foundation Trust</t>
  </si>
  <si>
    <t>RAX</t>
  </si>
  <si>
    <t>Lancashire Teaching Hospitals NHS Foundation Trust</t>
  </si>
  <si>
    <t>RXN</t>
  </si>
  <si>
    <t>Leeds Teaching Hospitals NHS Trust</t>
  </si>
  <si>
    <t>RR8</t>
  </si>
  <si>
    <t>Lewisham and Greenwich NHS Trust</t>
  </si>
  <si>
    <t>RJ2</t>
  </si>
  <si>
    <t>Liverpool Heart and Chest Hospital NHS Foundation Trust</t>
  </si>
  <si>
    <t>RBQ</t>
  </si>
  <si>
    <t>Liverpool University Hospitals NHS Foundation Trust</t>
  </si>
  <si>
    <t>REM</t>
  </si>
  <si>
    <t>R1K</t>
  </si>
  <si>
    <t>Maidstone and Tunbridge Wells NHS Trust</t>
  </si>
  <si>
    <t>RWF</t>
  </si>
  <si>
    <t>Manchester University NHS Foundation Trust</t>
  </si>
  <si>
    <t>R0A</t>
  </si>
  <si>
    <t>Medway NHS Foundation Trust</t>
  </si>
  <si>
    <t>RPA</t>
  </si>
  <si>
    <t>Mid and South Essex NHS Foundation Trust</t>
  </si>
  <si>
    <t>RAJ</t>
  </si>
  <si>
    <t>Mid Cheshire Hospitals NHS Foundation Trust</t>
  </si>
  <si>
    <t>RBT</t>
  </si>
  <si>
    <t>RXF</t>
  </si>
  <si>
    <t>Milton Keynes University Hospital NHS Foundation Trust</t>
  </si>
  <si>
    <t>RD8</t>
  </si>
  <si>
    <t>Norfolk and Norwich University Hospitals NHS Foundation Trust</t>
  </si>
  <si>
    <t>RM1</t>
  </si>
  <si>
    <t>North Bristol NHS Trust</t>
  </si>
  <si>
    <t>RVJ</t>
  </si>
  <si>
    <t>North Cumbria Integrated Care NHS Foundation Trust</t>
  </si>
  <si>
    <t>RNN</t>
  </si>
  <si>
    <t>North Middlesex University Hospital NHS Trust</t>
  </si>
  <si>
    <t>RAP</t>
  </si>
  <si>
    <t>RVW</t>
  </si>
  <si>
    <t>North West Anglia NHS Foundation Trust</t>
  </si>
  <si>
    <t>RGN</t>
  </si>
  <si>
    <t>Northampton General Hospital NHS Trust</t>
  </si>
  <si>
    <t>RNS</t>
  </si>
  <si>
    <t>Northern Lincolnshire and Goole NHS Foundation Trust</t>
  </si>
  <si>
    <t>RJL</t>
  </si>
  <si>
    <t>Northumbria Healthcare NHS Foundation Trust</t>
  </si>
  <si>
    <t>RTF</t>
  </si>
  <si>
    <t>Nottingham University Hospitals NHS Trust</t>
  </si>
  <si>
    <t>RX1</t>
  </si>
  <si>
    <t>Oxford University Hospitals NHS Foundation Trust</t>
  </si>
  <si>
    <t>RTH</t>
  </si>
  <si>
    <t>RGM</t>
  </si>
  <si>
    <t>RK9</t>
  </si>
  <si>
    <t>RHU</t>
  </si>
  <si>
    <t>Royal Berkshire NHS Foundation Trust</t>
  </si>
  <si>
    <t>RHW</t>
  </si>
  <si>
    <t>Royal Cornwall Hospitals NHS Trust</t>
  </si>
  <si>
    <t>REF</t>
  </si>
  <si>
    <t>RH8</t>
  </si>
  <si>
    <t>Royal Free London NHS Foundation Trust</t>
  </si>
  <si>
    <t>RAL</t>
  </si>
  <si>
    <t>Royal Surrey County Hospital NHS Foundation Trust</t>
  </si>
  <si>
    <t>RA2</t>
  </si>
  <si>
    <t>RD1</t>
  </si>
  <si>
    <t>RM3</t>
  </si>
  <si>
    <t>Salisbury NHS Foundation Trust</t>
  </si>
  <si>
    <t>RNZ</t>
  </si>
  <si>
    <t>Sandwell and West Birmingham Hospitals NHS Trust</t>
  </si>
  <si>
    <t>RXK</t>
  </si>
  <si>
    <t>Sheffield Teaching Hospitals NHS Foundation Trust</t>
  </si>
  <si>
    <t>RHQ</t>
  </si>
  <si>
    <t>Sherwood Forest Hospitals NHS Foundation Trust</t>
  </si>
  <si>
    <t>RK5</t>
  </si>
  <si>
    <t>Shrewsbury and Telford Hospital NHS Trust</t>
  </si>
  <si>
    <t>RXW</t>
  </si>
  <si>
    <t>Somerset NHS Foundation Trust</t>
  </si>
  <si>
    <t>RH5</t>
  </si>
  <si>
    <t>South Tees Hospitals NHS Foundation Trust</t>
  </si>
  <si>
    <t>RTR</t>
  </si>
  <si>
    <t>South Tyneside and Sunderland NHS Foundation Trust</t>
  </si>
  <si>
    <t>R0B</t>
  </si>
  <si>
    <t>RJC</t>
  </si>
  <si>
    <t>St George's University Hospitals NHS Foundation Trust</t>
  </si>
  <si>
    <t>RJ7</t>
  </si>
  <si>
    <t>RBN</t>
  </si>
  <si>
    <t>Stockport NHS Foundation Trust</t>
  </si>
  <si>
    <t>RWJ</t>
  </si>
  <si>
    <t>Surrey and Sussex Healthcare NHS Trust</t>
  </si>
  <si>
    <t>RTP</t>
  </si>
  <si>
    <t>Tameside and Glossop Integrated Care NHS Foundation Trust</t>
  </si>
  <si>
    <t>RMP</t>
  </si>
  <si>
    <t>RBV</t>
  </si>
  <si>
    <t>REN</t>
  </si>
  <si>
    <t>RNA</t>
  </si>
  <si>
    <t>RAS</t>
  </si>
  <si>
    <t>RTD</t>
  </si>
  <si>
    <t>RQW</t>
  </si>
  <si>
    <t>RCX</t>
  </si>
  <si>
    <t>RFR</t>
  </si>
  <si>
    <t>RPY</t>
  </si>
  <si>
    <t>RL4</t>
  </si>
  <si>
    <t>RKE</t>
  </si>
  <si>
    <t>Torbay and South Devon NHS Foundation Trust</t>
  </si>
  <si>
    <t>RA9</t>
  </si>
  <si>
    <t>United Lincolnshire Hospitals NHS Trust</t>
  </si>
  <si>
    <t>RWD</t>
  </si>
  <si>
    <t>University College London Hospitals NHS Foundation Trust</t>
  </si>
  <si>
    <t>RRV</t>
  </si>
  <si>
    <t>University Hospital Southampton NHS Foundation Trust</t>
  </si>
  <si>
    <t>RHM</t>
  </si>
  <si>
    <t>University Hospitals Birmingham NHS Foundation Trust</t>
  </si>
  <si>
    <t>RRK</t>
  </si>
  <si>
    <t>University Hospitals Bristol and Weston NHS Foundation Trust</t>
  </si>
  <si>
    <t>RA7</t>
  </si>
  <si>
    <t>University Hospitals Coventry and Warwickshire NHS Trust</t>
  </si>
  <si>
    <t>RKB</t>
  </si>
  <si>
    <t>University Hospitals Dorset NHS Foundation Trust</t>
  </si>
  <si>
    <t>R0D</t>
  </si>
  <si>
    <t>RTG</t>
  </si>
  <si>
    <t>RWE</t>
  </si>
  <si>
    <t>RTX</t>
  </si>
  <si>
    <t>RJE</t>
  </si>
  <si>
    <t>University Hospitals Sussex NHS Foundation Trust</t>
  </si>
  <si>
    <t>RYR</t>
  </si>
  <si>
    <t>Walsall Healthcare NHS Trust</t>
  </si>
  <si>
    <t>RBK</t>
  </si>
  <si>
    <t>RWW</t>
  </si>
  <si>
    <t>RWG</t>
  </si>
  <si>
    <t>West Suffolk NHS Foundation Trust</t>
  </si>
  <si>
    <t>RGR</t>
  </si>
  <si>
    <t>Wirral University Teaching Hospital NHS Foundation Trust</t>
  </si>
  <si>
    <t>RBL</t>
  </si>
  <si>
    <t>Worcestershire Acute Hospitals NHS Trust</t>
  </si>
  <si>
    <t>RWP</t>
  </si>
  <si>
    <t>Wrightington, Wigan and Leigh NHS Foundation Trust</t>
  </si>
  <si>
    <t>RRF</t>
  </si>
  <si>
    <t>Wye Valley NHS Trust</t>
  </si>
  <si>
    <t>RLQ</t>
  </si>
  <si>
    <t>RCB</t>
  </si>
  <si>
    <t>COLUMNS TO LEFT FOR STATA OUTPUT - COLUMNS TO RIGHT FOR POPULATING DASHBOARD</t>
  </si>
  <si>
    <t>selected_indicator_trust_value</t>
  </si>
  <si>
    <t>selected_indicator_trust_rank</t>
  </si>
  <si>
    <t>selected_dq_value</t>
  </si>
  <si>
    <t>selected_dq_rank</t>
  </si>
  <si>
    <t>name</t>
  </si>
  <si>
    <t>National</t>
  </si>
  <si>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</si>
  <si>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t xml:space="preserve">     </t>
  </si>
  <si>
    <t>NNHLA</t>
  </si>
  <si>
    <t>National non-Hodgkin lymphoma audit</t>
  </si>
  <si>
    <t>Dashboard - COSD</t>
  </si>
  <si>
    <t>Dashboard - RCRD</t>
  </si>
  <si>
    <t>Dashboard - pt char</t>
  </si>
  <si>
    <t>COSD</t>
  </si>
  <si>
    <r>
      <t xml:space="preserve">The key COSD data requirements for the NNHLA are available </t>
    </r>
    <r>
      <rPr>
        <u/>
        <sz val="11"/>
        <color theme="1"/>
        <rFont val="Calibri"/>
        <family val="2"/>
        <scheme val="minor"/>
      </rPr>
      <t>here</t>
    </r>
    <r>
      <rPr>
        <sz val="11"/>
        <color theme="1"/>
        <rFont val="Calibri"/>
        <family val="2"/>
        <scheme val="minor"/>
      </rPr>
      <t>.</t>
    </r>
  </si>
  <si>
    <t>The British Society for Haematology (BSH) has been bringing haematology professionals together since 1960 to transform the care their members provide to patients. With over 2,600 members worldwide, they are the largest UK haematology organisation and the only society to cover all aspects of the specialty. Company Limited by Guarantee No 02645706. Charity No 1005735</t>
  </si>
  <si>
    <t>Dashboard-COSD</t>
  </si>
  <si>
    <t>Dashboard-RCRD</t>
  </si>
  <si>
    <t>BSH</t>
  </si>
  <si>
    <t>HQIP</t>
  </si>
  <si>
    <t>NATCAN</t>
  </si>
  <si>
    <t>Healthcare Quality Improvement Partnership</t>
  </si>
  <si>
    <t>British Society for Haematology</t>
  </si>
  <si>
    <t>National Cancer Audit Collaborating Centre</t>
  </si>
  <si>
    <t>National Clinical Audit and Patient Outcomes Programme</t>
  </si>
  <si>
    <t>NCAPOP</t>
  </si>
  <si>
    <t>NHS</t>
  </si>
  <si>
    <t xml:space="preserve">National Health Service </t>
  </si>
  <si>
    <t>National Disease Registration Service</t>
  </si>
  <si>
    <t>NDRS</t>
  </si>
  <si>
    <t>National Cancer Registration and Analysis Service</t>
  </si>
  <si>
    <t>NCRAS</t>
  </si>
  <si>
    <t>Table of contents</t>
  </si>
  <si>
    <t>Stage III</t>
  </si>
  <si>
    <t xml:space="preserve">cell name: </t>
  </si>
  <si>
    <t>audit_name_long</t>
  </si>
  <si>
    <t>audit_name_short</t>
  </si>
  <si>
    <t>audit_cancer_type</t>
  </si>
  <si>
    <t>non-Hodgkin lymphoma</t>
  </si>
  <si>
    <t xml:space="preserve">Place: </t>
  </si>
  <si>
    <t>England only</t>
  </si>
  <si>
    <t>Rapid Cancer Registry Rata</t>
  </si>
  <si>
    <t>Q2 2024</t>
  </si>
  <si>
    <t>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</si>
  <si>
    <t>National Non-Hodgkin Lymphoma Audit (NNHLA)</t>
  </si>
  <si>
    <t>Explanatory notes</t>
  </si>
  <si>
    <t>Mature B-cell neoplasms</t>
  </si>
  <si>
    <t>Follicular lymphoma</t>
  </si>
  <si>
    <t>Large B-cell lymphomas</t>
  </si>
  <si>
    <t>Chronic lymphocytic leukaemia</t>
  </si>
  <si>
    <t>Other mature B-cell neoplasms</t>
  </si>
  <si>
    <t>Mature T- and NK-cell neoplasms</t>
  </si>
  <si>
    <t xml:space="preserve">AGE </t>
  </si>
  <si>
    <t>GENDER</t>
  </si>
  <si>
    <t>Male</t>
  </si>
  <si>
    <t>Female</t>
  </si>
  <si>
    <t>METHODS - Small number suppression</t>
  </si>
  <si>
    <t>© 2024 Healthcare Quality Improvement Partnership (HQIP)</t>
  </si>
  <si>
    <t>Citation for this document:</t>
  </si>
  <si>
    <t>18-59 years</t>
  </si>
  <si>
    <t>60-69 years</t>
  </si>
  <si>
    <t>70-79 years</t>
  </si>
  <si>
    <t>80+ years</t>
  </si>
  <si>
    <t>3&amp;4</t>
  </si>
  <si>
    <r>
      <rPr>
        <b/>
        <sz val="11"/>
        <color theme="1"/>
        <rFont val="Calibri"/>
        <family val="2"/>
        <scheme val="minor"/>
      </rPr>
      <t>This report was prepared by members of the NNHLA project team:</t>
    </r>
    <r>
      <rPr>
        <sz val="11"/>
        <color theme="1"/>
        <rFont val="Calibri"/>
        <family val="2"/>
        <scheme val="minor"/>
      </rPr>
      <t xml:space="preserve">
• Dr David Cutter (Royal College of Radiologists) - Clinical Lead (Oncology)
• Dr Cathy Burton (British Society of Haematology) - Clinical Lead (Haematology)</t>
    </r>
    <r>
      <rPr>
        <sz val="11"/>
        <color rgb="FFFF0000"/>
        <rFont val="Calibri"/>
        <family val="2"/>
        <scheme val="minor"/>
      </rPr>
      <t xml:space="preserve">
</t>
    </r>
    <r>
      <rPr>
        <sz val="11"/>
        <color theme="1"/>
        <rFont val="Calibri"/>
        <family val="2"/>
        <scheme val="minor"/>
      </rPr>
      <t>Team members in the National Cancer Audit Collaborating Centre, based in the Clinical Effectiveness Unit, RCS England:
• Kate Walker - Senior Methodologist
• Ella Barber - Data Scientist
• Lu Han - Statistician
• Vikki Hart - Senior Project Manager</t>
    </r>
  </si>
  <si>
    <t>Dashboard-patient characteristics</t>
  </si>
  <si>
    <t>Table containing features of data quality metrics presented on the RCRD dashboard</t>
  </si>
  <si>
    <t>Table containing features of data quality metrics presented on the COSD dashboard</t>
  </si>
  <si>
    <t>rcrd_dq_descr</t>
  </si>
  <si>
    <t>rcrd_dq_name</t>
  </si>
  <si>
    <t>rcrd_dq_demon</t>
  </si>
  <si>
    <t>cosd_dq_descr</t>
  </si>
  <si>
    <t>cosd_dq_name</t>
  </si>
  <si>
    <t>cosd_dq_demon</t>
  </si>
  <si>
    <t>Used in dashboard presenting RCRD cross sectional data</t>
  </si>
  <si>
    <t>Used in dashboard presenting COSD cross sectional data</t>
  </si>
  <si>
    <t>selected_trust_xc_rcrd</t>
  </si>
  <si>
    <t>start_date_rcrd</t>
  </si>
  <si>
    <t>end_date_rcrd</t>
  </si>
  <si>
    <t>start_date_cosd</t>
  </si>
  <si>
    <t>end_date_cosd</t>
  </si>
  <si>
    <t>selected_trust_xc_cosd</t>
  </si>
  <si>
    <t>selected_trust_code_xc_cosd</t>
  </si>
  <si>
    <t>selected_trust_ca_name_xc_cosd</t>
  </si>
  <si>
    <t>selected_trust_ca_code_xc_cosd</t>
  </si>
  <si>
    <t>selected_trust_code_xc_rcrd</t>
  </si>
  <si>
    <t>selected_trust_ca_name_xc_rcrd</t>
  </si>
  <si>
    <t>selected_trust_ca_code_xc_rcrd</t>
  </si>
  <si>
    <t>Used in dashboard presenting cross sectional rcrd</t>
  </si>
  <si>
    <t>Used in dashboard presenting cross sectional cosd</t>
  </si>
  <si>
    <t>bar_chart_rcrd_dq_selected_trust_Xaxis</t>
  </si>
  <si>
    <t>bar_chart_rcrd_dq_selected_trust_Yaxis</t>
  </si>
  <si>
    <t>bar_chart_rcrd_dq_target_Yaxis</t>
  </si>
  <si>
    <t>BAR CHART - RCRD DATA QUALITY</t>
  </si>
  <si>
    <t>BAR CHART - COSD DATA QUALITY</t>
  </si>
  <si>
    <t>bar_chart_cosd_dq_selected_trust_Xaxis</t>
  </si>
  <si>
    <t>bar_chart_cosd_dq_selected_trust_Yaxis</t>
  </si>
  <si>
    <t>bar_chart_cosd_dq_target_Xaxis</t>
  </si>
  <si>
    <t>bar_chart_rcrd_dq_target_Xaxis</t>
  </si>
  <si>
    <t>bar_chart_cosd_dq_target_Yaxis</t>
  </si>
  <si>
    <t>n_pat</t>
  </si>
  <si>
    <t>p_age_18_59</t>
  </si>
  <si>
    <t>p_age_60_69</t>
  </si>
  <si>
    <t>p_age_70_79</t>
  </si>
  <si>
    <t>p_age_80_plus</t>
  </si>
  <si>
    <t>p_Female</t>
  </si>
  <si>
    <t>p_Male</t>
  </si>
  <si>
    <t>p_White</t>
  </si>
  <si>
    <t>p_Asian</t>
  </si>
  <si>
    <t>p_Black</t>
  </si>
  <si>
    <t>p_Mixed</t>
  </si>
  <si>
    <t>p_Other</t>
  </si>
  <si>
    <t>p_Ethnic_unknown</t>
  </si>
  <si>
    <t>p_imd_1_least</t>
  </si>
  <si>
    <t>p_imd_2</t>
  </si>
  <si>
    <t>p_imd_3</t>
  </si>
  <si>
    <t>p_imd_4</t>
  </si>
  <si>
    <t>p_imd_5_most</t>
  </si>
  <si>
    <t>p_Mature_B</t>
  </si>
  <si>
    <t>p_Mature_T_NK</t>
  </si>
  <si>
    <t>p_Subtype_missing</t>
  </si>
  <si>
    <t>p_Mature_B_CLL</t>
  </si>
  <si>
    <t>p_Mature_B_FL</t>
  </si>
  <si>
    <t>p_Mature_B_LBCL</t>
  </si>
  <si>
    <t>p_Mature_B_other</t>
  </si>
  <si>
    <t>p_stage_1</t>
  </si>
  <si>
    <t>p_stage_2</t>
  </si>
  <si>
    <t>p_stage_3</t>
  </si>
  <si>
    <t>p_stage_4</t>
  </si>
  <si>
    <t>p_stage_missing</t>
  </si>
  <si>
    <t>p_ps_0</t>
  </si>
  <si>
    <t>p_ps_1</t>
  </si>
  <si>
    <t>p_ps_2</t>
  </si>
  <si>
    <t>p_ps_3_4</t>
  </si>
  <si>
    <t>p_ps_missing</t>
  </si>
  <si>
    <t>canceralliance_name</t>
  </si>
  <si>
    <t>Isle Of Wight NHS Trust</t>
  </si>
  <si>
    <t>RM Partners West London</t>
  </si>
  <si>
    <t>London North West University Healthcare NHS Trust</t>
  </si>
  <si>
    <t>Somerset, Wiltshire, Avon and Gloucestershire</t>
  </si>
  <si>
    <t>Royal National Orthopaedic Hospital NHS Trust</t>
  </si>
  <si>
    <t>Hillingdon Hospitals NHS Foundation Trust</t>
  </si>
  <si>
    <t>Mersey And West Lancashire Teaching Hospitals NHS Trust</t>
  </si>
  <si>
    <t>Christie NHS Foundation Trust</t>
  </si>
  <si>
    <t>Humber and North Yorkshire</t>
  </si>
  <si>
    <t>York and Scarborough Teaching Hospitals NHS Foundation Trust</t>
  </si>
  <si>
    <t>Queen Elizabeth Hospital, King's Lynn, NHS Foundation Trust</t>
  </si>
  <si>
    <t>Royal United Hospitals Bath NHS Foundation Trust</t>
  </si>
  <si>
    <t>Clatterbridge Cancer Centre NHS Foundation Trust</t>
  </si>
  <si>
    <t>The Walton Centre NHS Foundation Trust</t>
  </si>
  <si>
    <t>Rotherham NHS Foundation Trust</t>
  </si>
  <si>
    <t>Royal Papworth Hospital NHS Foundation Trust</t>
  </si>
  <si>
    <t>Royal Devon University Healthcare NHS Foundation Trust</t>
  </si>
  <si>
    <t>Portsmouth Hospitals University NHS Trust</t>
  </si>
  <si>
    <t>South Warwickshire University NHS Foundation Trust</t>
  </si>
  <si>
    <t>University Hospitals Of North Midlands NHS Trust</t>
  </si>
  <si>
    <t>Countess Of Chester Hospital NHS Foundation Trust</t>
  </si>
  <si>
    <t>University Hospitals Plymouth NHS Trust</t>
  </si>
  <si>
    <t>Whittington Health NHS Trust</t>
  </si>
  <si>
    <t>Robert Jones and Agnes Hunt Orthopaedic Hospital NHS Foundation Trust</t>
  </si>
  <si>
    <t>Royal Wolverhampton NHS Trust</t>
  </si>
  <si>
    <t>Northern Care Alliance NHS Foundation Trust</t>
  </si>
  <si>
    <t>Dudley Group NHS Foundation Trust</t>
  </si>
  <si>
    <t>Moorfields Eye Hospital NHS Foundation Trust</t>
  </si>
  <si>
    <t>Queen Victoria Hospital NHS Foundation Trust</t>
  </si>
  <si>
    <t>Royal Marsden NHS Foundation Trust</t>
  </si>
  <si>
    <t>Princess Alexandra Hospital NHS Trust</t>
  </si>
  <si>
    <t>Homerton Healthcare NHS Foundation Trust</t>
  </si>
  <si>
    <t>Royal Orthopaedic Hospital NHS Foundation Trust</t>
  </si>
  <si>
    <t>Newcastle Upon Tyne Hospitals NHS Foundation Trust</t>
  </si>
  <si>
    <t>University Hospitals Of Derby and Burton NHS Foundation Trust</t>
  </si>
  <si>
    <t>Gloucestershire Health and Care NHS Foundation Trust</t>
  </si>
  <si>
    <t>University Hospitals Of Morecambe Bay NHS Foundation Trust</t>
  </si>
  <si>
    <t>Epsom and St Helier University Hospitals NHS Trust</t>
  </si>
  <si>
    <t>North Tees and Hartlepool NHS Foundation Trust</t>
  </si>
  <si>
    <t>University Hospitals Of Leicester NHS Trust</t>
  </si>
  <si>
    <t>West Hertfordshire Teaching Hospitals NHS Trust</t>
  </si>
  <si>
    <t>Warrington and Halton Teaching Hospitals NHS Foundation Trust</t>
  </si>
  <si>
    <t>Calderdale and Huddersfield NHS Foundation Trust</t>
  </si>
  <si>
    <t>Mid Yorkshire Teaching NHS Trust</t>
  </si>
  <si>
    <t>Row Labels</t>
  </si>
  <si>
    <t>RAN</t>
  </si>
  <si>
    <t>RET</t>
  </si>
  <si>
    <t>RL1</t>
  </si>
  <si>
    <t>RP6</t>
  </si>
  <si>
    <t>RPC</t>
  </si>
  <si>
    <t>RRJ</t>
  </si>
  <si>
    <t>RTQ</t>
  </si>
  <si>
    <t>Count of alliance_name</t>
  </si>
  <si>
    <t>source of trust lists: worksheet trust_quality_RCRD "S:\NATCAN_Projects\NHL\6. Quarterly reports\03-2024 (March)\Quarterly report Mar 2024_V1.2_08.03.24.xls" updated by LH 08march2024</t>
  </si>
  <si>
    <t>Table containing cell references for back end data - RCRD</t>
  </si>
  <si>
    <t>Table containing cell references for back end data - COSD</t>
  </si>
  <si>
    <t>trust_rcrdq_table</t>
  </si>
  <si>
    <t>trust_rcrdq_rows</t>
  </si>
  <si>
    <t>trust_rcrdq_cols</t>
  </si>
  <si>
    <t>national_rcrdq_table</t>
  </si>
  <si>
    <t>national_rcrdq_cols</t>
  </si>
  <si>
    <t>Table containing cell references for back end data - pt char</t>
  </si>
  <si>
    <t>trust_cosdq_table</t>
  </si>
  <si>
    <t>trust_cosdq_rows</t>
  </si>
  <si>
    <t>trust_cosdq_cols</t>
  </si>
  <si>
    <t>national_cosdq_table</t>
  </si>
  <si>
    <t>national_cosdq_cols</t>
  </si>
  <si>
    <t>trust_cosd_quality!$A$1:$S$1</t>
  </si>
  <si>
    <t>Cross section rcrd quality worksheet - cell ref matrix</t>
  </si>
  <si>
    <t>Cross section rcrd quality - cell ref row names</t>
  </si>
  <si>
    <t>Cross section rcrd quality worksheet - cell ref col names</t>
  </si>
  <si>
    <t>Cross section cosd quality worksheet - cell ref matrix</t>
  </si>
  <si>
    <t>Cross section cosd quality - cell ref row names</t>
  </si>
  <si>
    <t>Cross section cosd quality worksheet - cell ref col names</t>
  </si>
  <si>
    <t>Q3 2021</t>
  </si>
  <si>
    <t>Q2 2022</t>
  </si>
  <si>
    <t>start_date_ptc</t>
  </si>
  <si>
    <t>end_date_ptc</t>
  </si>
  <si>
    <t>Q3 2023</t>
  </si>
  <si>
    <t>Q4 2022</t>
  </si>
  <si>
    <t>Q4 2021</t>
  </si>
  <si>
    <t xml:space="preserve">Rapid Cancer Registration Dataset (RCRD) </t>
  </si>
  <si>
    <t>trust_patient_char!$A$2:$AJ$124</t>
  </si>
  <si>
    <t>trust_patient_char!$A$1:$AJ$1</t>
  </si>
  <si>
    <t>trust_patient_char!$A$2:$A$124</t>
  </si>
  <si>
    <t>%</t>
  </si>
  <si>
    <t>check a2 vs a1</t>
  </si>
  <si>
    <t>national_patient_chars!$A$2:$AJ$2</t>
  </si>
  <si>
    <t>national_patient_chars!$A$1:$AJ$1</t>
  </si>
  <si>
    <t>n_trusts_in_CA_xc_rcrd</t>
  </si>
  <si>
    <t>n_trusts_in_CA_xc_cosd</t>
  </si>
  <si>
    <t>alliance_patient_chars!$A$2:$AJ$22</t>
  </si>
  <si>
    <t>alliance_patient_chars!$A$1:$AJ$1</t>
  </si>
  <si>
    <t>alliance_cosd_quality!$A$2:$Q$22</t>
  </si>
  <si>
    <t>alliance_cosd_quality!$A$2:$A$22</t>
  </si>
  <si>
    <t>alliance_cosd_quality!$A$1:$Q$1</t>
  </si>
  <si>
    <t>alliance_rcrd_quality!$A$2:$A$22</t>
  </si>
  <si>
    <t>alliance_rcrdq_table</t>
  </si>
  <si>
    <t>alliance_cosdq_table</t>
  </si>
  <si>
    <t>alliance_ptc_table</t>
  </si>
  <si>
    <t>alliance_rcrdq_rows</t>
  </si>
  <si>
    <t>alliance_cosdq_rows</t>
  </si>
  <si>
    <t>alliance_ptc_cols</t>
  </si>
  <si>
    <t>alliance_rcrdq_cols</t>
  </si>
  <si>
    <t>alliance_cosdq_cols</t>
  </si>
  <si>
    <t>alliance_ptc_rows</t>
  </si>
  <si>
    <t>Number of trusts per cancer alliance - used to ensure length of table presenting all trusts within CA on XC Dashbaord is sufficient to list all trusts within the largest cancer alliance - generated using pivot table - will need updating if table containing list of trusts changes</t>
  </si>
  <si>
    <t>trust_rcrd_quality!$A$2:$A$132</t>
  </si>
  <si>
    <t>selected_rcrdq_descr_xc</t>
  </si>
  <si>
    <t>selected_rcrdq_name_xc</t>
  </si>
  <si>
    <t>selected_rcrdq_target_xc</t>
  </si>
  <si>
    <t>selected_rcrdq_denom_xc</t>
  </si>
  <si>
    <t>selected_rcrdq_num_xc</t>
  </si>
  <si>
    <t>selected_rcrdq_denomdescr_xc</t>
  </si>
  <si>
    <t>selected_rcrdq_datasource_xc</t>
  </si>
  <si>
    <t>selected_rcrdq_datavar_xc</t>
  </si>
  <si>
    <t>selected_rcrdq_time_xc</t>
  </si>
  <si>
    <t>selected_cosdq_descr_xc</t>
  </si>
  <si>
    <t>selected_cosdq_denomdescr_xc</t>
  </si>
  <si>
    <t>selected_cosdq_datasource_xc</t>
  </si>
  <si>
    <t>selected_cosdq_datavar_xc</t>
  </si>
  <si>
    <t>selected_cosdq_time_xc</t>
  </si>
  <si>
    <t>selected_cosdq_num_xc</t>
  </si>
  <si>
    <t>selected_cosdq_denom_xc</t>
  </si>
  <si>
    <t>selected_cosdq_target_xc</t>
  </si>
  <si>
    <t>selected_cosdq_name_xc</t>
  </si>
  <si>
    <t>rcrdq_cell_ref_table</t>
  </si>
  <si>
    <t>rcrdq_cell_ref_matrix</t>
  </si>
  <si>
    <t>rcrdq_cell_ref_col_names</t>
  </si>
  <si>
    <t>rcrdq_cell_ref_row_names</t>
  </si>
  <si>
    <t>n_pat_LBCL</t>
  </si>
  <si>
    <t>n_pat_FL</t>
  </si>
  <si>
    <t>n_pat_CLL</t>
  </si>
  <si>
    <t>data dictionary: "S:\NATCAN_Projects\NHL\4. KPI development\2. Exploratory data analyses\Data_dictionaries\COSD_Dataset_v9_0_1_Final.ods"</t>
  </si>
  <si>
    <t>data dictionary: "S:\NATCAN_Projects\NHL\4. KPI development\2. Exploratory data analyses\Data_dictionaries\NDRS_Rapid_Cancer_Registrations_Data_Data_Dictionary_v2.1.xlsx"</t>
  </si>
  <si>
    <t>Follicular Lymphoma International Prognostic Index</t>
  </si>
  <si>
    <t>FLIPI</t>
  </si>
  <si>
    <t>Revised International Prognostic Index</t>
  </si>
  <si>
    <t>R-IPI</t>
  </si>
  <si>
    <t>HA8360</t>
  </si>
  <si>
    <t>HA8450</t>
  </si>
  <si>
    <t>HA8240</t>
  </si>
  <si>
    <t>CLL</t>
  </si>
  <si>
    <t>HA8280</t>
  </si>
  <si>
    <t>HA8290</t>
  </si>
  <si>
    <t>HA8300</t>
  </si>
  <si>
    <t>HA8310</t>
  </si>
  <si>
    <t>HA8680</t>
  </si>
  <si>
    <t>CR2050</t>
  </si>
  <si>
    <t>https://digital.nhs.uk/ndrs/data/data-sets/rcrd/rcrd-data-dictionary#top</t>
  </si>
  <si>
    <t>https://digital.nhs.uk/ndrs/data/data-sets/cosd/cosd-v9.0-downloads#top</t>
  </si>
  <si>
    <t>ETHNICCATEGORY</t>
  </si>
  <si>
    <t>TUMOUR_MORPHOLOGY</t>
  </si>
  <si>
    <t>TUMOUR_PERFORMANCESTATUS</t>
  </si>
  <si>
    <t>Justification for inclusion</t>
  </si>
  <si>
    <t>following is taken from RCRD data dictionary "Performance status is an attempt to quantify cancer patients' general well-being and activities of daily life. This measure is used to determine whether they can receive chemotherapy, whether dose adjustment is necessary, and as a measure for the required intensity of palliative care."</t>
  </si>
  <si>
    <t>following is taken from RCRD data dictionary "Recorded in ICD10-0-2 and 0-3. There is no accompanying descriptive field to differentiate the clinical coding system used, so caution should be taken when using this data, especially when analysing haematological malignancies and sarcomas."</t>
  </si>
  <si>
    <t>Cautionary notes</t>
  </si>
  <si>
    <t>FINAL_ROUTE</t>
  </si>
  <si>
    <t>following is take from RCRD data dictionary "See http://www.ncin.org.uk/publications/routes_to_diagnosis for further explanation of how this field is derived by NDRS"</t>
  </si>
  <si>
    <t>STAGE</t>
  </si>
  <si>
    <t>following is taken from the RCRD data dictionary "This field gives stage at diagnosis of inferred cancers based on TNM staging." "Available only for Lymphoma (C81-C86, C88)"</t>
  </si>
  <si>
    <t>national_rcrd_quality!$A$1:$G$2</t>
  </si>
  <si>
    <t>national_rcrd_quality!$A$1:$G$1</t>
  </si>
  <si>
    <t>Data completeness for ethnicity</t>
  </si>
  <si>
    <t>Data completeness for performance status</t>
  </si>
  <si>
    <t>Data completeness for route to diagnosis</t>
  </si>
  <si>
    <t>Data completeness for stage at diagnosis</t>
  </si>
  <si>
    <t>Data completeness for Revised International Prognostic Index (R-IPI)</t>
  </si>
  <si>
    <t>Data completeness for Follicular Lymphoma International Prognostic Index (FLIPI-2)</t>
  </si>
  <si>
    <t>Data completeness for Binet stage</t>
  </si>
  <si>
    <t>Data completeness for Ann Arbor stage</t>
  </si>
  <si>
    <t>Data completeness for Ann Arbor extranodality</t>
  </si>
  <si>
    <t>Data completeness for Ann Arbor symptoms</t>
  </si>
  <si>
    <t>Data completeness for Ann Arbor bulk</t>
  </si>
  <si>
    <t>Data completeness for Ann Arbor Splenic involvement</t>
  </si>
  <si>
    <t>Data completeness for clinical nurse specialist</t>
  </si>
  <si>
    <t>trust_rcrd_quality!$A$2:$L$132</t>
  </si>
  <si>
    <t>trust_rcrd_quality!$A$1:$L$1</t>
  </si>
  <si>
    <t>alliance_rcrd_quality!$A$2:$J$22</t>
  </si>
  <si>
    <t>alliance_rcrd_quality!$A$1:$J$1</t>
  </si>
  <si>
    <t>Data completeness for non-Hodgkin lymphoma subtype</t>
  </si>
  <si>
    <t>cosdq_cell_ref_matrix</t>
  </si>
  <si>
    <t>cosdq_cell_ref_col_names</t>
  </si>
  <si>
    <t>cosdq_cell_ref_row_names</t>
  </si>
  <si>
    <t>nurse_p</t>
  </si>
  <si>
    <t>AArbor_stage_p</t>
  </si>
  <si>
    <t>AArbor_bulk_p</t>
  </si>
  <si>
    <t>AArbor_extranodality_p</t>
  </si>
  <si>
    <t>AArbor_splenic_p</t>
  </si>
  <si>
    <t>AArbor_symptoms_p</t>
  </si>
  <si>
    <t>Binet_p</t>
  </si>
  <si>
    <t>FL_IPI_p</t>
  </si>
  <si>
    <t>IPI_p</t>
  </si>
  <si>
    <t>North East London NHS Foundation Trust</t>
  </si>
  <si>
    <t>RAT</t>
  </si>
  <si>
    <t>trust_cosd_quality!$A$2:$S$131</t>
  </si>
  <si>
    <t>trust_cosd_quality!$A$2:$A$131</t>
  </si>
  <si>
    <t>national_cosd_quality!$A$1:$Q$2</t>
  </si>
  <si>
    <t>national_cosd_quality!$A$1:$Q$1</t>
  </si>
  <si>
    <t>cosdq_cell_ref_table</t>
  </si>
  <si>
    <t>1 (least deprived)</t>
  </si>
  <si>
    <t>5 (most deprived)</t>
  </si>
  <si>
    <t>Number of people in England diagnosed with non-Hodgkin lymphoma</t>
  </si>
  <si>
    <t>Number of people in England diagnosed with large b cell lymphoma</t>
  </si>
  <si>
    <t>Number of people in England diagnosed with follicular lymphoma</t>
  </si>
  <si>
    <t>Number of people in England diagnosed with chronic lymphocytic leukaemia (CLL)</t>
  </si>
  <si>
    <t>Number of people in England diagnosed with non-Hodgkin lymphoma who have their ethnicity recorded</t>
  </si>
  <si>
    <t>Number of people in England diagnosed with non-Hodgkin lymphoma who have their subtype recorded</t>
  </si>
  <si>
    <t>Number of people in England diagnosed with non-Hodgkin lymphoma who have their performance status recorded</t>
  </si>
  <si>
    <t>Number of people in England diagnosed with non-Hodgkin lymphoma who have their route to diagnosis recorded</t>
  </si>
  <si>
    <t>Number of people in England diagnosed with non-Hodgkin lymphoma who have their stage recorded</t>
  </si>
  <si>
    <t>Number of people in England diagnosed with large b cell lymphoma who have a Revised International Prognostic Index score recorded</t>
  </si>
  <si>
    <t>Number of people in England diagnosed with follicular lymphoma who have a Follicular Lymphoma International Prognostic Index score recorded</t>
  </si>
  <si>
    <t>Number of people in England diagnosed with chronic lymphocytic leukaemia who have a Binet stage recorded</t>
  </si>
  <si>
    <t>Number of people in England diagnosed with non-Hodgkin lymphoma who have an Ann Arbor stage recorded</t>
  </si>
  <si>
    <t>Number of people in England diagnosed with non-Hodgkin lymphoma who have Ann Arbor extranodality recorded as present or absent</t>
  </si>
  <si>
    <t>Number of people in England diagnosed with non-Hodgkin lymphoma who have the presence or absence of Ann Arbor symptoms recorded</t>
  </si>
  <si>
    <t>Number of people in England diagnosed with non-Hodgkin lymphoma who have Ann Arbor bulk recorded as present or absent</t>
  </si>
  <si>
    <t>Number of people in England diagnosed with non-Hodgkin lymphoma who have Ann Arbor splenic involvement recorded as present or absent</t>
  </si>
  <si>
    <t xml:space="preserve">Number of people in England diagnosed with non-Hodgkin lymphoma who have if they saw an appropriate site specific clinical nurse specialist recorded. </t>
  </si>
  <si>
    <t>selected_indicator_denom</t>
  </si>
  <si>
    <t>ICD-10</t>
  </si>
  <si>
    <t>International classification of diseases and related health problems,10th revision</t>
  </si>
  <si>
    <t>International classification of diseases for oncology, 3rd edition</t>
  </si>
  <si>
    <t>RCRD data dictionary version 2.1</t>
  </si>
  <si>
    <t>trust code:</t>
  </si>
  <si>
    <t>trust name:</t>
  </si>
  <si>
    <t>removed from COSD DQ trust sheet</t>
  </si>
  <si>
    <t>removed from RCRD DQ trust sheet</t>
  </si>
  <si>
    <t>y</t>
  </si>
  <si>
    <t>not listed</t>
  </si>
  <si>
    <t xml:space="preserve">NOTE - LH commented 08march2024 that the trusts listed below reported &lt;25 patients and are not routine cancer care providers for NHL, and therefore have been dropped for patient characteristics at trust and CA level. 
These three trusts were also dropped from trust-level data quality and have been excluded for CA-level data quality, as they can’t be mapped to a CA. </t>
  </si>
  <si>
    <t>integrated community and mental health services</t>
  </si>
  <si>
    <t>comment</t>
  </si>
  <si>
    <t>main focus is the treatment and care of NHS patients with a wide range of eye conditions</t>
  </si>
  <si>
    <t>provides joined-up mental health, physical health and learning disability services</t>
  </si>
  <si>
    <t>alliance_patient_chars!$A$2:$A$22</t>
  </si>
  <si>
    <t>Subtype</t>
  </si>
  <si>
    <t>C82</t>
  </si>
  <si>
    <t>Included</t>
  </si>
  <si>
    <t>Non-follicular lymphoma</t>
  </si>
  <si>
    <t>C83</t>
  </si>
  <si>
    <t>Mature T/NK-cell lymphomas</t>
  </si>
  <si>
    <t>C84</t>
  </si>
  <si>
    <t>Other and unspecified types of non-Hodgkin lymphoma</t>
  </si>
  <si>
    <t>C85</t>
  </si>
  <si>
    <t>Other specified types of T/NK-cell lymphoma</t>
  </si>
  <si>
    <t>C86</t>
  </si>
  <si>
    <t>Malignant immunoproliferative diseases</t>
  </si>
  <si>
    <t>C88</t>
  </si>
  <si>
    <t xml:space="preserve">Included </t>
  </si>
  <si>
    <t>Lymphoid leukaemia</t>
  </si>
  <si>
    <t>C91</t>
  </si>
  <si>
    <t>Subtype*</t>
  </si>
  <si>
    <t>9579/3, 9591/3, 9673/3, 9679/3, 9680/3, 9687/3, 9688/3, 9689/3, 9690/3, 9695/3, 9698/3, 9699/3, 9712/3, 9731/3, 9732/3, 9734/3, 9735/3, 9765/1, 9769/1, 9823/1, 9823/3, 9940/3</t>
  </si>
  <si>
    <t>9823/3</t>
  </si>
  <si>
    <t>9579/3, 9690/3, 9695/3, 9698/3</t>
  </si>
  <si>
    <t>9700/3, 9701/3, 9702/3, 9705/3, 9709/3, 9714/3, 9716/3, 9717/3, 9718/3, 9719/3, 9726/3, 9827/3, 9831/3, 9834/3</t>
  </si>
  <si>
    <r>
      <t xml:space="preserve">* Source: The Haematological Malignancy Research Network (HMRN). </t>
    </r>
    <r>
      <rPr>
        <u/>
        <sz val="11"/>
        <rFont val="Calibri"/>
        <family val="2"/>
        <scheme val="minor"/>
      </rPr>
      <t>https://hmrn.org/resources/icdo3</t>
    </r>
  </si>
  <si>
    <t>ICD-O-3</t>
  </si>
  <si>
    <t>ICD codes</t>
  </si>
  <si>
    <t>ICD-O-3*</t>
  </si>
  <si>
    <t>Table 6: ICD-10 codes used to identify people diagnosed with non-Hodgkin lymphoma included in this quarterly report</t>
  </si>
  <si>
    <t>Table 7: ICD-O-3 codes used to identify subtypes of non-Hodgkin lymphoma included in this quarterly report</t>
  </si>
  <si>
    <t>9679/3, 9680/3, 9688/3, 9698/3, 9712/3, 9735/3, 9765/1</t>
  </si>
  <si>
    <t xml:space="preserve">EITHER they were asigned one of the corresponding ICD-O-3 codes listed in the table below, </t>
  </si>
  <si>
    <t>We classified people diagnosed with non-Hodgkin lymphoma as belonging to one of the subtypes listed in the table below if:</t>
  </si>
  <si>
    <t>We classified people diagnosed with non-Hodgkin lymphoma as having an UNKNOWN subtype if NEITHER of these two criteria were met.</t>
  </si>
  <si>
    <t>OR they were asigned an ICD-10 code of C82 or C84 - these were then mapped to subtypes, as detailed in the table below.</t>
  </si>
  <si>
    <t>We classified people as being diagnosed with non-Hodgkin lymphoma if they were asigned one of the corresponding ICD-10 codes listed in the table below:</t>
  </si>
  <si>
    <t>METHODS - International Classification of Diseases (ICD) codes used to identify people diagnosed with NHL and included in this quarterly report</t>
  </si>
  <si>
    <t>9823/1, 9940/3, 9591/3, 9689/3, 9699/3, 9765/1, 9731/3, 9732/3, 9734/3, 9769/1, 9673/3, 9687/3</t>
  </si>
  <si>
    <r>
      <t xml:space="preserve">Aged 18 years and over who received care provided by the National Health Service in England and have a diagnosis of NHL, as documented by International Classification of Diseases codes. Please see the </t>
    </r>
    <r>
      <rPr>
        <u/>
        <sz val="11"/>
        <rFont val="Calibri"/>
        <family val="2"/>
        <scheme val="minor"/>
      </rPr>
      <t>METHODS</t>
    </r>
    <r>
      <rPr>
        <sz val="11"/>
        <rFont val="Calibri"/>
        <family val="2"/>
        <scheme val="minor"/>
      </rPr>
      <t xml:space="preserve"> note below for further detail on International Classification of Diseases codes used.</t>
    </r>
  </si>
  <si>
    <t>Further information for NHS Trusts</t>
  </si>
  <si>
    <t>Included if also have ICD-O3 code for a subtype of NHL, as listed in table below.</t>
  </si>
  <si>
    <t>TYPE OF NON-HODGKIN LYMPHOMA*</t>
  </si>
  <si>
    <r>
      <t xml:space="preserve">* Please see </t>
    </r>
    <r>
      <rPr>
        <u/>
        <sz val="11"/>
        <color theme="1"/>
        <rFont val="Calibri"/>
        <family val="2"/>
        <scheme val="minor"/>
      </rPr>
      <t>Methods</t>
    </r>
    <r>
      <rPr>
        <sz val="11"/>
        <color theme="1"/>
        <rFont val="Calibri"/>
        <family val="2"/>
        <scheme val="minor"/>
      </rPr>
      <t xml:space="preserve"> section of </t>
    </r>
    <r>
      <rPr>
        <u/>
        <sz val="11"/>
        <color theme="1"/>
        <rFont val="Calibri"/>
        <family val="2"/>
        <scheme val="minor"/>
      </rPr>
      <t>Explanatory Notes</t>
    </r>
    <r>
      <rPr>
        <sz val="11"/>
        <color theme="1"/>
        <rFont val="Calibri"/>
        <family val="2"/>
        <scheme val="minor"/>
      </rPr>
      <t xml:space="preserve"> worksheet for details of ICD codes used to classify NHL subtypes. </t>
    </r>
  </si>
  <si>
    <t>User guide</t>
  </si>
  <si>
    <t>Acronyms</t>
  </si>
  <si>
    <r>
      <t xml:space="preserve">Please refer to RCRD data dictionary version 2.1 </t>
    </r>
    <r>
      <rPr>
        <u/>
        <sz val="11"/>
        <rFont val="Calibri"/>
        <family val="2"/>
        <scheme val="minor"/>
      </rPr>
      <t>here</t>
    </r>
    <r>
      <rPr>
        <sz val="11"/>
        <rFont val="Calibri"/>
        <family val="2"/>
        <scheme val="minor"/>
      </rPr>
      <t xml:space="preserve"> for further information on this data variable  </t>
    </r>
  </si>
  <si>
    <r>
      <t>Data source:</t>
    </r>
    <r>
      <rPr>
        <sz val="11"/>
        <color theme="1"/>
        <rFont val="Calibri"/>
        <family val="2"/>
        <scheme val="minor"/>
      </rPr>
      <t xml:space="preserve"> Rapid Cancer Registration Dataset (RCRD) </t>
    </r>
  </si>
  <si>
    <t>COSD data dictionary version 9.0.1</t>
  </si>
  <si>
    <r>
      <t xml:space="preserve">Please refer to COSD data dictionary version 9.0.1 </t>
    </r>
    <r>
      <rPr>
        <u/>
        <sz val="11"/>
        <rFont val="Calibri"/>
        <family val="2"/>
        <scheme val="minor"/>
      </rPr>
      <t>here</t>
    </r>
    <r>
      <rPr>
        <sz val="11"/>
        <rFont val="Calibri"/>
        <family val="2"/>
        <scheme val="minor"/>
      </rPr>
      <t xml:space="preserve"> for further information on this data variable  </t>
    </r>
  </si>
  <si>
    <r>
      <t xml:space="preserve">At the time of developing this quarterly report, the RCRD and COSD that were made available to NATCAN spanned different time periods and are therefore reported in separate dashboards. Details of the inclusion criteria used to define the cohort of people diagnosed with NHL, for which data completeness are reported in each dashboard, are outlined in the explanatory notes found </t>
    </r>
    <r>
      <rPr>
        <u/>
        <sz val="11"/>
        <color theme="1"/>
        <rFont val="Calibri"/>
        <family val="2"/>
        <scheme val="minor"/>
      </rPr>
      <t>here</t>
    </r>
    <r>
      <rPr>
        <sz val="11"/>
        <color theme="1"/>
        <rFont val="Calibri"/>
        <family val="2"/>
        <scheme val="minor"/>
      </rPr>
      <t>.</t>
    </r>
  </si>
  <si>
    <t xml:space="preserve">People: </t>
  </si>
  <si>
    <t>This dashboard reports data completeness for items contained within the Rapid Cancer Registry Dataset (RCRD) that will be required for analysis to support reporting of key performance indicators. Inclusion criteria used to define the cohort, from which data reported in this dashboard were derived from, are outlined below.</t>
  </si>
  <si>
    <t>This dashboard reports characteristics of patients contained within the Rapid Cancer Registry Dataset (RCRD) which, alongside the two other data completeness dashboards, aims to provide insight into data quality. Inclusion criteria used to define the cohort, from which data reported in this dashboard were derived from, are outlined below.</t>
  </si>
  <si>
    <t>To avoid the reporting of small numbers (counts &lt;5) in this report, no counts are reported for the dashboard presenting the characteristics of people diagnosed with NHL (Table 5), only percentages. The total number of people diagnosed with NHL included for each Trust in Table 5 is not reported, and it is different to the total number of people diagnosed with NHL in the other tables in this report because the reporting period for Table 5 is different (Q4 2021 – Q3 2023).</t>
  </si>
  <si>
    <r>
      <t>The RCRD only includes 3-character ICD-10 codes and therefore the inclusion into this report uses a combination of ICD-10 and ICD-O-3 codes.  People have been included in our report if they have an ICD-10 code of C82-C86 or C88. Some, but not all, people with an ICD-10 code of C91 fall within the scope of the NNHLA. Therefore, people with C91 are included only if they also have an ICD-O3 code from the subtype code listed in the worksheet called “</t>
    </r>
    <r>
      <rPr>
        <u/>
        <sz val="11"/>
        <rFont val="Calibri"/>
        <family val="2"/>
        <scheme val="minor"/>
      </rPr>
      <t>ICD codes</t>
    </r>
    <r>
      <rPr>
        <sz val="11"/>
        <rFont val="Calibri"/>
        <family val="2"/>
        <scheme val="minor"/>
      </rPr>
      <t>”. For example, the ICD-10 classification for chronic lymphocytic leukaemia (CLL) is C91.1. Rather than including all ICD-10 C91 diagnoses in this report (and inadvertently including patients without NHL), ICD-O-3 codes are used to capture people diagnosed with CLL. However, ICD-O-3 data is incomplete and therefore people diagnosed with CLL but with missing ICD-O-3 data will not be captured. Please refer to the worksheet called "</t>
    </r>
    <r>
      <rPr>
        <u/>
        <sz val="11"/>
        <rFont val="Calibri"/>
        <family val="2"/>
        <scheme val="minor"/>
      </rPr>
      <t>ICD codes</t>
    </r>
    <r>
      <rPr>
        <sz val="11"/>
        <rFont val="Calibri"/>
        <family val="2"/>
        <scheme val="minor"/>
      </rPr>
      <t xml:space="preserve">" for further information on ICD codes used to identify people diagnosed with NHL and included in this quarterly report. </t>
    </r>
  </si>
  <si>
    <t>Inclusion</t>
  </si>
  <si>
    <t>Inclusion criteria:</t>
  </si>
  <si>
    <r>
      <t xml:space="preserve">Further information on ICD codes used to define cohort can be found </t>
    </r>
    <r>
      <rPr>
        <u/>
        <sz val="11"/>
        <rFont val="Calibri"/>
        <family val="2"/>
        <scheme val="minor"/>
      </rPr>
      <t>here</t>
    </r>
    <r>
      <rPr>
        <sz val="11"/>
        <rFont val="Calibri"/>
        <family val="2"/>
        <scheme val="minor"/>
      </rPr>
      <t xml:space="preserve"> in </t>
    </r>
    <r>
      <rPr>
        <u/>
        <sz val="11"/>
        <rFont val="Calibri"/>
        <family val="2"/>
        <scheme val="minor"/>
      </rPr>
      <t xml:space="preserve">Explanatory Notes </t>
    </r>
    <r>
      <rPr>
        <sz val="11"/>
        <rFont val="Calibri"/>
        <family val="2"/>
        <scheme val="minor"/>
      </rPr>
      <t>worksheet.</t>
    </r>
  </si>
  <si>
    <t>Time period over which characteristics of people diagnosed with NHL evaluated:</t>
  </si>
  <si>
    <t>CHARACTERISTIC</t>
  </si>
  <si>
    <t>Time periods that this quarterly report spans:</t>
  </si>
  <si>
    <t>quarter_definitions</t>
  </si>
  <si>
    <t>Q1: 1 January – 31 March; Q2: 1 April – 30 June; Q3: 1 July – 30 September; Q4: 1 October – 31 December</t>
  </si>
  <si>
    <t xml:space="preserve">Time period:* </t>
  </si>
  <si>
    <r>
      <t xml:space="preserve">Further information on RCRD can be found </t>
    </r>
    <r>
      <rPr>
        <u/>
        <sz val="11"/>
        <rFont val="Calibri"/>
        <family val="2"/>
        <scheme val="minor"/>
      </rPr>
      <t>here</t>
    </r>
    <r>
      <rPr>
        <sz val="11"/>
        <rFont val="Calibri"/>
        <family val="2"/>
        <scheme val="minor"/>
      </rPr>
      <t>.</t>
    </r>
  </si>
  <si>
    <t>This worksheet contains dynamic text presented on dashboards and a number of named cells/ranges to support the linkking bacend worksheets with front end dashboards</t>
  </si>
  <si>
    <t>Ensure these cells are up to date when editing</t>
  </si>
  <si>
    <t>Lists!B13:J18</t>
  </si>
  <si>
    <t>Lists!B14:J18</t>
  </si>
  <si>
    <t>Lists!B13:J14</t>
  </si>
  <si>
    <t>Lists!B14:B18</t>
  </si>
  <si>
    <t>Lists!B24:J33</t>
  </si>
  <si>
    <t>Lists!B25:J33</t>
  </si>
  <si>
    <t>Lists!B24:J24</t>
  </si>
  <si>
    <t>Lists!B25:B33</t>
  </si>
  <si>
    <t>Lists!B60:E189</t>
  </si>
  <si>
    <t>Lists!G63:H83</t>
  </si>
  <si>
    <r>
      <t xml:space="preserve">This is the first quarterly report to be published by the NNHLA. It presents data completeness and data quality for variables that will be required to develop and report key performance indicators. For future planned activities around key performance indicators, please see our FAQs </t>
    </r>
    <r>
      <rPr>
        <u/>
        <sz val="11"/>
        <color theme="1"/>
        <rFont val="Calibri"/>
        <family val="2"/>
        <scheme val="minor"/>
      </rPr>
      <t>here</t>
    </r>
    <r>
      <rPr>
        <sz val="11"/>
        <color theme="1"/>
        <rFont val="Calibri"/>
        <family val="2"/>
        <scheme val="minor"/>
      </rPr>
      <t xml:space="preserve">. </t>
    </r>
  </si>
  <si>
    <r>
      <t xml:space="preserve">This quarterly report utilises data from the Rapid Cancer Registration Dataset (RCRD) and COSD. RCRD is made available more quickly than the complete cancer registration dataset. While RCRD is compiled mainly from COSD records, the speed of production means that the range of data items is limited and several standard data items in the complete registration dataset are unavailable. We therefore also report data completeness for a few select items from the COSD that are not reported in the RCRD, but that will be required to develop and report key performance indicators. Further information on RCRD can be found </t>
    </r>
    <r>
      <rPr>
        <u/>
        <sz val="11"/>
        <rFont val="Calibri"/>
        <family val="2"/>
        <scheme val="minor"/>
      </rPr>
      <t>here</t>
    </r>
    <r>
      <rPr>
        <sz val="11"/>
        <rFont val="Calibri"/>
        <family val="2"/>
        <scheme val="minor"/>
      </rPr>
      <t>.</t>
    </r>
  </si>
  <si>
    <t>Cancer Outcomes and Services Dataset</t>
  </si>
  <si>
    <t xml:space="preserve">Your local Data Improvement Lead, NDRS, will be able to help you find out information about your Cancer Outcomes and Services Dataset (COSD) submissions. </t>
  </si>
  <si>
    <t>Cancer Outcomes and Services Dataset (COSD)</t>
  </si>
  <si>
    <t>This dashboard reports data completeness for items contained within the Cancer Outcomes and Services Dataset (COSD) that will be required for analysis to support reporting of key performance indicators. Inclusion criteria used to define the cohort, from which data reported in this dashboard were derived from, are outlined below.</t>
  </si>
  <si>
    <r>
      <rPr>
        <sz val="11"/>
        <rFont val="Calibri"/>
        <family val="2"/>
        <scheme val="minor"/>
      </rPr>
      <t xml:space="preserve">The audit cohort was selected based on ICD-10 codes C82-C86 or C88 (Follicular and Non-follicular lymphoma, Mature T/NK-cell lymphomas, Malignant immunoproliferative diseases, Other and unspecified types of non-Hodgkin lymphoma) or ICD-10 code C91 in combination with any of the eligible ICD-O-3 codes listed on the </t>
    </r>
    <r>
      <rPr>
        <u/>
        <sz val="11"/>
        <rFont val="Calibri"/>
        <family val="2"/>
        <scheme val="minor"/>
      </rPr>
      <t>ICD codes sheet</t>
    </r>
    <r>
      <rPr>
        <sz val="11"/>
        <rFont val="Calibri"/>
        <family val="2"/>
        <scheme val="minor"/>
      </rPr>
      <t xml:space="preserve"> (Chronic lymphocytic leukaemia of B-cell type). Diagnoses based on death certificate only were excluded.</t>
    </r>
  </si>
  <si>
    <r>
      <t xml:space="preserve">Please refer to the NNHLA </t>
    </r>
    <r>
      <rPr>
        <u/>
        <sz val="11"/>
        <rFont val="Calibri"/>
        <family val="2"/>
        <scheme val="minor"/>
      </rPr>
      <t>Scoping Document</t>
    </r>
    <r>
      <rPr>
        <sz val="11"/>
        <rFont val="Calibri"/>
        <family val="2"/>
        <scheme val="minor"/>
      </rPr>
      <t xml:space="preserve">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</si>
</sst>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5" x14ac:knownFonts="1">
    <font>
      <sz val="11"/>
      <color theme="1"/>
      <name val="Calibri"/>
      <family val="2"/>
      <scheme val="minor"/>
    </font>
    <font>
      <sz val="11"/>
      <color theme="1"/>
      <name val="Calibri"/>
      <scheme val="minor"/>
    </font>
    <font>
      <b/>
      <sz val="11"/>
      <color theme="1"/>
      <name val="Calibri"/>
      <family val="2"/>
      <scheme val="minor"/>
    </font>
    <font>
      <sz val="11"/>
      <color rgb="FF000000"/>
      <name val="Calibri"/>
      <family val="2"/>
    </font>
    <font>
      <sz val="11"/>
      <color theme="1"/>
      <name val="Calibri"/>
      <family val="2"/>
      <scheme val="minor"/>
    </font>
    <font>
      <sz val="8"/>
      <name val="Calibri"/>
      <family val="2"/>
      <scheme val="minor"/>
    </font>
    <font>
      <b/>
      <sz val="11"/>
      <color rgb="FF000000"/>
      <name val="Calibri"/>
      <family val="2"/>
    </font>
    <font>
      <sz val="10"/>
      <name val="Arial"/>
      <family val="2"/>
    </font>
    <font>
      <sz val="10"/>
      <name val="Arial"/>
      <family val="2"/>
    </font>
    <font>
      <b/>
      <sz val="10"/>
      <name val="Arial"/>
      <family val="2"/>
    </font>
    <font>
      <sz val="10"/>
      <color theme="1"/>
      <name val="Calibri"/>
      <family val="2"/>
      <scheme val="minor"/>
    </font>
    <font>
      <sz val="11"/>
      <name val="Calibri"/>
      <family val="2"/>
      <scheme val="minor"/>
    </font>
    <font>
      <sz val="11"/>
      <color rgb="FFFF0000"/>
      <name val="Calibri"/>
      <family val="2"/>
      <scheme val="minor"/>
    </font>
    <font>
      <u/>
      <sz val="11"/>
      <color theme="10"/>
      <name val="Calibri"/>
      <family val="2"/>
      <scheme val="minor"/>
    </font>
    <font>
      <sz val="11"/>
      <color rgb="FF7030A0"/>
      <name val="Calibri"/>
      <family val="2"/>
      <scheme val="minor"/>
    </font>
    <font>
      <b/>
      <u/>
      <sz val="11"/>
      <color theme="1"/>
      <name val="Calibri"/>
      <family val="2"/>
      <scheme val="minor"/>
    </font>
    <font>
      <sz val="11"/>
      <color rgb="FF000000"/>
      <name val="Calibri"/>
      <scheme val="minor"/>
    </font>
    <font>
      <u/>
      <sz val="11"/>
      <color rgb="FF000000"/>
      <name val="Calibri"/>
      <scheme val="minor"/>
    </font>
    <font>
      <u/>
      <sz val="11"/>
      <color theme="1"/>
      <name val="Calibri"/>
      <family val="2"/>
      <scheme val="minor"/>
    </font>
    <font>
      <i/>
      <sz val="11"/>
      <color theme="1"/>
      <name val="Calibri"/>
      <family val="2"/>
      <scheme val="minor"/>
    </font>
    <font>
      <sz val="11"/>
      <color rgb="FF323232"/>
      <name val="Calibri"/>
      <family val="2"/>
      <scheme val="minor"/>
    </font>
    <font>
      <sz val="10"/>
      <name val="Arial"/>
    </font>
    <font>
      <u/>
      <sz val="11"/>
      <name val="Calibri"/>
      <family val="2"/>
      <scheme val="minor"/>
    </font>
    <font>
      <i/>
      <sz val="11"/>
      <name val="Calibri"/>
      <family val="2"/>
      <scheme val="minor"/>
    </font>
    <font>
      <sz val="11"/>
      <name val="Calibri"/>
    </font>
  </fonts>
  <fills count="9">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theme="0" tint="-0.14999847407452621"/>
      </patternFill>
    </fill>
    <fill>
      <patternFill patternType="solid">
        <fgColor theme="4" tint="0.39997558519241921"/>
        <bgColor indexed="64"/>
      </patternFill>
    </fill>
    <fill>
      <patternFill patternType="solid">
        <fgColor theme="5" tint="0.39997558519241921"/>
        <bgColor indexed="64"/>
      </patternFill>
    </fill>
  </fills>
  <borders count="21">
    <border>
      <left/>
      <right/>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theme="1"/>
      </top>
      <bottom style="thin">
        <color indexed="64"/>
      </bottom>
      <diagonal/>
    </border>
  </borders>
  <cellStyleXfs count="16">
    <xf numFmtId="0" fontId="0" fillId="0" borderId="0"/>
    <xf numFmtId="43" fontId="4" fillId="0" borderId="0" applyFont="0" applyFill="0" applyBorder="0" applyAlignment="0" applyProtection="0"/>
    <xf numFmtId="0" fontId="8" fillId="0" borderId="0"/>
    <xf numFmtId="0" fontId="7"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9" fontId="4" fillId="0" borderId="0" applyFont="0" applyFill="0" applyBorder="0" applyAlignment="0" applyProtection="0"/>
    <xf numFmtId="0" fontId="13" fillId="0" borderId="0" applyNumberFormat="0" applyFill="0" applyBorder="0" applyAlignment="0" applyProtection="0"/>
    <xf numFmtId="0" fontId="21" fillId="0" borderId="0"/>
    <xf numFmtId="43" fontId="4" fillId="0" borderId="0" applyFont="0" applyFill="0" applyBorder="0" applyAlignment="0" applyProtection="0"/>
    <xf numFmtId="43" fontId="4" fillId="0" borderId="0" applyFont="0" applyFill="0" applyBorder="0" applyAlignment="0" applyProtection="0"/>
    <xf numFmtId="0" fontId="24" fillId="0" borderId="0"/>
  </cellStyleXfs>
  <cellXfs count="173">
    <xf numFmtId="0" fontId="0" fillId="0" borderId="0" xfId="0"/>
    <xf numFmtId="0" fontId="2" fillId="0" borderId="0" xfId="0" applyFont="1"/>
    <xf numFmtId="1" fontId="0" fillId="0" borderId="0" xfId="0" applyNumberFormat="1"/>
    <xf numFmtId="0" fontId="0" fillId="2" borderId="0" xfId="0" applyFill="1"/>
    <xf numFmtId="2" fontId="0" fillId="0" borderId="0" xfId="0" applyNumberFormat="1"/>
    <xf numFmtId="0" fontId="0" fillId="0" borderId="0" xfId="0" applyAlignment="1">
      <alignment wrapText="1"/>
    </xf>
    <xf numFmtId="0" fontId="0" fillId="0" borderId="1" xfId="0" applyBorder="1"/>
    <xf numFmtId="0" fontId="0" fillId="0" borderId="4" xfId="0" applyBorder="1"/>
    <xf numFmtId="0" fontId="2" fillId="0" borderId="5" xfId="0" applyFont="1" applyBorder="1"/>
    <xf numFmtId="0" fontId="0" fillId="0" borderId="0" xfId="0" applyAlignment="1">
      <alignment horizontal="left"/>
    </xf>
    <xf numFmtId="0" fontId="0" fillId="4" borderId="6" xfId="0" applyFill="1" applyBorder="1"/>
    <xf numFmtId="0" fontId="0" fillId="0" borderId="6" xfId="0" applyBorder="1"/>
    <xf numFmtId="1" fontId="0" fillId="0" borderId="6" xfId="0" applyNumberFormat="1" applyBorder="1"/>
    <xf numFmtId="0" fontId="2" fillId="0" borderId="6" xfId="0" applyFont="1" applyBorder="1"/>
    <xf numFmtId="1" fontId="2" fillId="0" borderId="6" xfId="0" applyNumberFormat="1" applyFont="1" applyBorder="1"/>
    <xf numFmtId="0" fontId="2" fillId="0" borderId="7" xfId="0" applyFont="1" applyBorder="1" applyAlignment="1">
      <alignment vertical="top"/>
    </xf>
    <xf numFmtId="0" fontId="0" fillId="0" borderId="7" xfId="0" applyBorder="1"/>
    <xf numFmtId="0" fontId="0" fillId="0" borderId="0" xfId="0" applyAlignment="1">
      <alignment horizontal="right"/>
    </xf>
    <xf numFmtId="0" fontId="0" fillId="3" borderId="11" xfId="0" applyFill="1" applyBorder="1"/>
    <xf numFmtId="0" fontId="2" fillId="0" borderId="3" xfId="0" applyFont="1" applyBorder="1" applyAlignment="1">
      <alignment horizontal="center"/>
    </xf>
    <xf numFmtId="0" fontId="2" fillId="0" borderId="4" xfId="0" applyFont="1" applyBorder="1" applyAlignment="1">
      <alignment horizontal="center" vertical="center" wrapText="1"/>
    </xf>
    <xf numFmtId="0" fontId="2" fillId="0" borderId="18" xfId="0" applyFont="1" applyBorder="1" applyAlignment="1">
      <alignment horizontal="center"/>
    </xf>
    <xf numFmtId="0" fontId="0" fillId="0" borderId="16" xfId="0" applyBorder="1"/>
    <xf numFmtId="0" fontId="0" fillId="0" borderId="14" xfId="0" applyBorder="1"/>
    <xf numFmtId="0" fontId="2" fillId="0" borderId="16" xfId="0" applyFont="1" applyBorder="1"/>
    <xf numFmtId="0" fontId="0" fillId="0" borderId="16" xfId="0" applyBorder="1" applyAlignment="1">
      <alignment horizontal="left" indent="2"/>
    </xf>
    <xf numFmtId="0" fontId="0" fillId="0" borderId="14" xfId="0" applyBorder="1" applyAlignment="1">
      <alignment horizontal="left" indent="2"/>
    </xf>
    <xf numFmtId="0" fontId="2" fillId="0" borderId="15" xfId="0" applyFont="1" applyBorder="1" applyAlignment="1">
      <alignment horizontal="center" vertical="center" wrapText="1"/>
    </xf>
    <xf numFmtId="0" fontId="2" fillId="0" borderId="12" xfId="0" applyFont="1" applyBorder="1" applyAlignment="1">
      <alignment vertical="center"/>
    </xf>
    <xf numFmtId="0" fontId="2" fillId="0" borderId="14" xfId="0" applyFont="1" applyBorder="1" applyAlignment="1">
      <alignment vertical="center"/>
    </xf>
    <xf numFmtId="165" fontId="0" fillId="0" borderId="0" xfId="0" applyNumberFormat="1"/>
    <xf numFmtId="0" fontId="0" fillId="0" borderId="0" xfId="0" applyAlignment="1">
      <alignment horizontal="left" vertical="top" wrapText="1" indent="3"/>
    </xf>
    <xf numFmtId="0" fontId="0" fillId="0" borderId="0" xfId="0" applyAlignment="1">
      <alignment vertical="top" wrapText="1"/>
    </xf>
    <xf numFmtId="0" fontId="0" fillId="0" borderId="0" xfId="0" applyAlignment="1">
      <alignment horizontal="left" vertical="center" indent="3"/>
    </xf>
    <xf numFmtId="0" fontId="10" fillId="0" borderId="0" xfId="0" applyFont="1"/>
    <xf numFmtId="0" fontId="0" fillId="6" borderId="5" xfId="0" applyFill="1" applyBorder="1"/>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top" wrapText="1"/>
    </xf>
    <xf numFmtId="0" fontId="2" fillId="0" borderId="0" xfId="0" applyFont="1" applyAlignment="1">
      <alignment horizontal="left" vertical="top"/>
    </xf>
    <xf numFmtId="0" fontId="0" fillId="6" borderId="0" xfId="0" applyFill="1"/>
    <xf numFmtId="0" fontId="11" fillId="7" borderId="6" xfId="8" applyFont="1" applyFill="1" applyBorder="1"/>
    <xf numFmtId="0" fontId="11" fillId="8" borderId="6" xfId="8" applyFont="1" applyFill="1" applyBorder="1"/>
    <xf numFmtId="0" fontId="0" fillId="2" borderId="6" xfId="0" applyFill="1" applyBorder="1"/>
    <xf numFmtId="0" fontId="2" fillId="0" borderId="16" xfId="0" applyFont="1" applyBorder="1" applyAlignment="1">
      <alignment vertical="center"/>
    </xf>
    <xf numFmtId="43" fontId="0" fillId="0" borderId="0" xfId="1" applyFont="1"/>
    <xf numFmtId="164" fontId="0" fillId="0" borderId="0" xfId="1" applyNumberFormat="1" applyFont="1"/>
    <xf numFmtId="0" fontId="2" fillId="0" borderId="16" xfId="0" applyFont="1" applyBorder="1" applyAlignment="1">
      <alignment wrapText="1"/>
    </xf>
    <xf numFmtId="0" fontId="0" fillId="0" borderId="16" xfId="0" applyBorder="1" applyAlignment="1">
      <alignment horizontal="left" wrapText="1" indent="2"/>
    </xf>
    <xf numFmtId="0" fontId="0" fillId="0" borderId="14" xfId="0" applyBorder="1" applyAlignment="1">
      <alignment horizontal="left" wrapText="1" indent="2"/>
    </xf>
    <xf numFmtId="0" fontId="6" fillId="0" borderId="0" xfId="0" applyFont="1" applyAlignment="1">
      <alignment vertical="top"/>
    </xf>
    <xf numFmtId="9" fontId="0" fillId="0" borderId="0" xfId="10" applyFont="1" applyAlignment="1">
      <alignment horizontal="left" vertical="center"/>
    </xf>
    <xf numFmtId="0" fontId="14" fillId="0" borderId="0" xfId="0" applyFont="1"/>
    <xf numFmtId="0" fontId="11" fillId="0" borderId="0" xfId="11" applyFont="1" applyAlignment="1">
      <alignment wrapText="1"/>
    </xf>
    <xf numFmtId="0" fontId="15" fillId="0" borderId="0" xfId="0" applyFont="1"/>
    <xf numFmtId="0" fontId="11" fillId="0" borderId="0" xfId="11" applyFont="1" applyBorder="1" applyAlignment="1">
      <alignment wrapText="1"/>
    </xf>
    <xf numFmtId="0" fontId="14" fillId="0" borderId="0" xfId="0" applyFont="1" applyAlignment="1">
      <alignment horizontal="left"/>
    </xf>
    <xf numFmtId="0" fontId="3" fillId="0" borderId="0" xfId="0" applyFont="1" applyAlignment="1">
      <alignment horizontal="left" vertical="center" wrapText="1"/>
    </xf>
    <xf numFmtId="0" fontId="1" fillId="0" borderId="0" xfId="0" applyFont="1" applyAlignment="1">
      <alignment wrapText="1"/>
    </xf>
    <xf numFmtId="0" fontId="0" fillId="0" borderId="0" xfId="0" applyAlignment="1">
      <alignment horizontal="left" wrapText="1"/>
    </xf>
    <xf numFmtId="0" fontId="0" fillId="0" borderId="2" xfId="0" applyBorder="1"/>
    <xf numFmtId="0" fontId="18" fillId="0" borderId="0" xfId="11" applyFont="1" applyAlignment="1">
      <alignment wrapText="1"/>
    </xf>
    <xf numFmtId="0" fontId="0" fillId="0" borderId="16" xfId="0" applyBorder="1" applyAlignment="1">
      <alignment horizontal="left" vertical="center" wrapText="1" indent="2"/>
    </xf>
    <xf numFmtId="0" fontId="0" fillId="0" borderId="16" xfId="0" applyBorder="1" applyAlignment="1">
      <alignment horizontal="left" vertical="center" indent="2"/>
    </xf>
    <xf numFmtId="0" fontId="0" fillId="0" borderId="14" xfId="0" applyBorder="1" applyAlignment="1">
      <alignment horizontal="left" vertical="center" wrapText="1" indent="2"/>
    </xf>
    <xf numFmtId="0" fontId="2" fillId="0" borderId="12" xfId="0" applyFont="1" applyBorder="1"/>
    <xf numFmtId="0" fontId="2" fillId="0" borderId="16" xfId="0" applyFont="1" applyBorder="1" applyAlignment="1">
      <alignment horizontal="left"/>
    </xf>
    <xf numFmtId="0" fontId="19" fillId="0" borderId="16" xfId="0" applyFont="1" applyBorder="1" applyAlignment="1">
      <alignment horizontal="left" vertical="center" wrapText="1" indent="4"/>
    </xf>
    <xf numFmtId="0" fontId="19" fillId="0" borderId="16" xfId="0" applyFont="1" applyBorder="1" applyAlignment="1">
      <alignment horizontal="left" vertical="center" indent="4"/>
    </xf>
    <xf numFmtId="0" fontId="0" fillId="0" borderId="0" xfId="11" applyFont="1" applyFill="1" applyAlignment="1">
      <alignment vertical="top" wrapText="1"/>
    </xf>
    <xf numFmtId="0" fontId="0" fillId="0" borderId="0" xfId="11" applyFont="1" applyFill="1" applyAlignment="1">
      <alignment wrapText="1"/>
    </xf>
    <xf numFmtId="0" fontId="2" fillId="0" borderId="0" xfId="0" applyFont="1" applyAlignment="1">
      <alignment wrapText="1"/>
    </xf>
    <xf numFmtId="0" fontId="18" fillId="0" borderId="0" xfId="11" applyFont="1" applyFill="1" applyAlignment="1">
      <alignment wrapText="1"/>
    </xf>
    <xf numFmtId="0" fontId="9" fillId="0" borderId="4" xfId="0" applyFont="1" applyBorder="1"/>
    <xf numFmtId="0" fontId="0" fillId="0" borderId="0" xfId="0" pivotButton="1"/>
    <xf numFmtId="0" fontId="21" fillId="0" borderId="0" xfId="12"/>
    <xf numFmtId="0" fontId="9" fillId="0" borderId="4" xfId="12" applyFont="1" applyBorder="1"/>
    <xf numFmtId="0" fontId="2" fillId="0" borderId="4" xfId="0" applyFont="1" applyBorder="1"/>
    <xf numFmtId="0" fontId="0" fillId="0" borderId="19" xfId="0" applyBorder="1"/>
    <xf numFmtId="0" fontId="7" fillId="0" borderId="0" xfId="0" applyFont="1"/>
    <xf numFmtId="0" fontId="11" fillId="0" borderId="6" xfId="11" applyFont="1" applyBorder="1" applyAlignment="1">
      <alignment wrapText="1"/>
    </xf>
    <xf numFmtId="0" fontId="0" fillId="0" borderId="6" xfId="0" applyBorder="1" applyAlignment="1">
      <alignment wrapText="1"/>
    </xf>
    <xf numFmtId="0" fontId="2" fillId="0" borderId="6" xfId="0" applyFont="1" applyBorder="1" applyAlignment="1">
      <alignment vertical="top"/>
    </xf>
    <xf numFmtId="0" fontId="11" fillId="0" borderId="4" xfId="11" applyFont="1" applyBorder="1" applyAlignment="1">
      <alignment horizontal="left" wrapText="1"/>
    </xf>
    <xf numFmtId="0" fontId="11" fillId="0" borderId="4" xfId="11" applyFont="1" applyBorder="1" applyAlignment="1">
      <alignment horizontal="left" vertical="top" wrapText="1"/>
    </xf>
    <xf numFmtId="0" fontId="10" fillId="0" borderId="6" xfId="0" applyFont="1" applyBorder="1"/>
    <xf numFmtId="0" fontId="11" fillId="8" borderId="19" xfId="8" applyFont="1" applyFill="1" applyBorder="1"/>
    <xf numFmtId="2" fontId="2" fillId="0" borderId="5" xfId="0" applyNumberFormat="1" applyFont="1" applyBorder="1"/>
    <xf numFmtId="0" fontId="0" fillId="0" borderId="0" xfId="0" applyAlignment="1">
      <alignment vertical="top"/>
    </xf>
    <xf numFmtId="0" fontId="0" fillId="0" borderId="4" xfId="0" applyBorder="1" applyAlignment="1">
      <alignment vertical="top"/>
    </xf>
    <xf numFmtId="0" fontId="0" fillId="0" borderId="5" xfId="0" applyBorder="1"/>
    <xf numFmtId="0" fontId="2" fillId="0" borderId="20" xfId="0" applyFont="1" applyBorder="1"/>
    <xf numFmtId="2" fontId="2" fillId="0" borderId="4" xfId="0" applyNumberFormat="1" applyFont="1" applyBorder="1"/>
    <xf numFmtId="0" fontId="9" fillId="0" borderId="0" xfId="0" applyFont="1"/>
    <xf numFmtId="2" fontId="0" fillId="0" borderId="6" xfId="0" applyNumberFormat="1" applyBorder="1"/>
    <xf numFmtId="49" fontId="11" fillId="8" borderId="6" xfId="8" applyNumberFormat="1" applyFont="1" applyFill="1" applyBorder="1"/>
    <xf numFmtId="9" fontId="0" fillId="0" borderId="0" xfId="10" applyFont="1" applyAlignment="1">
      <alignment horizontal="center" vertical="center"/>
    </xf>
    <xf numFmtId="9" fontId="0" fillId="0" borderId="4" xfId="10" applyFont="1" applyBorder="1" applyAlignment="1">
      <alignment horizontal="center" vertical="center"/>
    </xf>
    <xf numFmtId="3" fontId="0" fillId="0" borderId="0" xfId="0" applyNumberFormat="1" applyAlignment="1">
      <alignment horizontal="left" indent="11"/>
    </xf>
    <xf numFmtId="10" fontId="0" fillId="0" borderId="0" xfId="10" applyNumberFormat="1" applyFont="1" applyFill="1" applyBorder="1" applyAlignment="1">
      <alignment horizontal="center" vertical="center"/>
    </xf>
    <xf numFmtId="0" fontId="0" fillId="0" borderId="0" xfId="0" applyAlignment="1">
      <alignment horizontal="center" vertical="center"/>
    </xf>
    <xf numFmtId="2" fontId="0" fillId="0" borderId="16" xfId="0" applyNumberFormat="1" applyBorder="1"/>
    <xf numFmtId="0" fontId="20" fillId="0" borderId="0" xfId="0" applyFont="1" applyAlignment="1">
      <alignment horizontal="left" vertical="top" wrapText="1"/>
    </xf>
    <xf numFmtId="0" fontId="0" fillId="0" borderId="17" xfId="0" applyBorder="1" applyAlignment="1">
      <alignment horizontal="right" vertical="center" indent="7"/>
    </xf>
    <xf numFmtId="0" fontId="0" fillId="5" borderId="15" xfId="0" applyFill="1" applyBorder="1" applyAlignment="1">
      <alignment horizontal="right" vertical="center" indent="7"/>
    </xf>
    <xf numFmtId="3" fontId="0" fillId="0" borderId="0" xfId="0" applyNumberFormat="1" applyAlignment="1">
      <alignment horizontal="right" vertical="center" indent="4"/>
    </xf>
    <xf numFmtId="3" fontId="0" fillId="0" borderId="4" xfId="0" applyNumberFormat="1" applyBorder="1" applyAlignment="1">
      <alignment horizontal="right" vertical="center" indent="4"/>
    </xf>
    <xf numFmtId="9" fontId="0" fillId="2" borderId="0" xfId="10" applyFont="1" applyFill="1" applyAlignment="1">
      <alignment horizontal="center" vertical="center"/>
    </xf>
    <xf numFmtId="9" fontId="0" fillId="2" borderId="0" xfId="10" applyFont="1" applyFill="1" applyBorder="1" applyAlignment="1">
      <alignment horizontal="center" vertical="center"/>
    </xf>
    <xf numFmtId="9" fontId="0" fillId="2" borderId="4" xfId="10" applyFont="1" applyFill="1" applyBorder="1" applyAlignment="1">
      <alignment horizontal="center" vertical="center"/>
    </xf>
    <xf numFmtId="0" fontId="0" fillId="0" borderId="0" xfId="0" applyAlignment="1">
      <alignment horizontal="right" indent="7"/>
    </xf>
    <xf numFmtId="1" fontId="0" fillId="0" borderId="17" xfId="0" applyNumberFormat="1" applyBorder="1" applyAlignment="1">
      <alignment horizontal="right" indent="7"/>
    </xf>
    <xf numFmtId="1" fontId="0" fillId="0" borderId="17" xfId="1" applyNumberFormat="1" applyFont="1" applyBorder="1" applyAlignment="1">
      <alignment horizontal="right" indent="7"/>
    </xf>
    <xf numFmtId="0" fontId="0" fillId="0" borderId="4" xfId="0" applyBorder="1" applyAlignment="1">
      <alignment horizontal="right" indent="7"/>
    </xf>
    <xf numFmtId="1" fontId="0" fillId="0" borderId="15" xfId="1" applyNumberFormat="1" applyFont="1" applyBorder="1" applyAlignment="1">
      <alignment horizontal="right" indent="7"/>
    </xf>
    <xf numFmtId="0" fontId="0" fillId="0" borderId="7" xfId="0" applyBorder="1" applyAlignment="1">
      <alignment horizontal="right" indent="7"/>
    </xf>
    <xf numFmtId="1" fontId="0" fillId="0" borderId="13" xfId="0" applyNumberFormat="1" applyBorder="1" applyAlignment="1">
      <alignment horizontal="right" indent="7"/>
    </xf>
    <xf numFmtId="0" fontId="0" fillId="0" borderId="0" xfId="0" applyAlignment="1">
      <alignment horizontal="right" wrapText="1" indent="7"/>
    </xf>
    <xf numFmtId="1" fontId="0" fillId="0" borderId="17" xfId="0" applyNumberFormat="1" applyBorder="1" applyAlignment="1">
      <alignment horizontal="right" wrapText="1" indent="7"/>
    </xf>
    <xf numFmtId="1" fontId="0" fillId="0" borderId="17" xfId="1" applyNumberFormat="1" applyFont="1" applyFill="1" applyBorder="1" applyAlignment="1">
      <alignment horizontal="right" indent="7"/>
    </xf>
    <xf numFmtId="2" fontId="0" fillId="0" borderId="11" xfId="0" applyNumberFormat="1" applyBorder="1"/>
    <xf numFmtId="0" fontId="11" fillId="8" borderId="17" xfId="8" applyFont="1" applyFill="1" applyBorder="1"/>
    <xf numFmtId="0" fontId="0" fillId="0" borderId="6" xfId="0" applyBorder="1" applyAlignment="1">
      <alignment horizontal="right"/>
    </xf>
    <xf numFmtId="3" fontId="0" fillId="0" borderId="0" xfId="0" applyNumberFormat="1" applyAlignment="1">
      <alignment horizontal="right" indent="4"/>
    </xf>
    <xf numFmtId="2" fontId="0" fillId="0" borderId="14" xfId="0" applyNumberFormat="1" applyBorder="1"/>
    <xf numFmtId="3" fontId="0" fillId="0" borderId="4" xfId="0" applyNumberFormat="1" applyBorder="1" applyAlignment="1">
      <alignment horizontal="right" indent="4"/>
    </xf>
    <xf numFmtId="0" fontId="0" fillId="0" borderId="15" xfId="0" applyBorder="1" applyAlignment="1">
      <alignment horizontal="right" vertical="center" indent="7"/>
    </xf>
    <xf numFmtId="0" fontId="22" fillId="0" borderId="0" xfId="11" applyFont="1" applyAlignment="1">
      <alignment wrapText="1"/>
    </xf>
    <xf numFmtId="0" fontId="11" fillId="0" borderId="6" xfId="11" applyFont="1" applyFill="1" applyBorder="1" applyAlignment="1">
      <alignment wrapText="1"/>
    </xf>
    <xf numFmtId="0" fontId="2" fillId="0" borderId="3" xfId="0" applyFont="1" applyBorder="1"/>
    <xf numFmtId="3" fontId="0" fillId="0" borderId="0" xfId="0" applyNumberFormat="1"/>
    <xf numFmtId="3" fontId="0" fillId="0" borderId="4" xfId="0" applyNumberFormat="1" applyBorder="1"/>
    <xf numFmtId="3" fontId="2" fillId="0" borderId="0" xfId="0" applyNumberFormat="1" applyFont="1"/>
    <xf numFmtId="3" fontId="0" fillId="0" borderId="0" xfId="0" applyNumberFormat="1" applyAlignment="1">
      <alignment horizontal="left" indent="3"/>
    </xf>
    <xf numFmtId="0" fontId="23" fillId="0" borderId="0" xfId="0" applyFont="1" applyAlignment="1">
      <alignment horizontal="left" indent="3"/>
    </xf>
    <xf numFmtId="0" fontId="11" fillId="0" borderId="0" xfId="11" applyFont="1" applyFill="1" applyAlignment="1">
      <alignment horizontal="left"/>
    </xf>
    <xf numFmtId="0" fontId="0" fillId="0" borderId="0" xfId="0" applyAlignment="1">
      <alignment horizontal="left" vertical="top"/>
    </xf>
    <xf numFmtId="0" fontId="11" fillId="0" borderId="0" xfId="11" applyFont="1" applyAlignment="1">
      <alignment horizontal="left" wrapText="1"/>
    </xf>
    <xf numFmtId="0" fontId="0" fillId="0" borderId="0" xfId="0" applyAlignment="1">
      <alignment vertical="center"/>
    </xf>
    <xf numFmtId="0" fontId="2" fillId="0" borderId="0" xfId="0" applyFont="1" applyAlignment="1">
      <alignment horizontal="left"/>
    </xf>
    <xf numFmtId="0" fontId="11" fillId="2" borderId="0" xfId="8" applyFont="1" applyFill="1"/>
    <xf numFmtId="0" fontId="2" fillId="0" borderId="3" xfId="0" applyFont="1" applyBorder="1" applyAlignment="1">
      <alignment horizontal="left" indent="5"/>
    </xf>
    <xf numFmtId="0" fontId="0" fillId="0" borderId="0" xfId="0" applyAlignment="1">
      <alignment horizontal="left" indent="5"/>
    </xf>
    <xf numFmtId="0" fontId="0" fillId="0" borderId="4" xfId="0" applyBorder="1" applyAlignment="1">
      <alignment horizontal="left" indent="5"/>
    </xf>
    <xf numFmtId="1" fontId="0" fillId="0" borderId="15" xfId="1" applyNumberFormat="1" applyFont="1" applyFill="1" applyBorder="1" applyAlignment="1">
      <alignment horizontal="right" indent="7"/>
    </xf>
    <xf numFmtId="0" fontId="22" fillId="0" borderId="0" xfId="11" applyFont="1" applyAlignment="1">
      <alignment horizontal="left" wrapText="1"/>
    </xf>
    <xf numFmtId="0" fontId="11" fillId="0" borderId="0" xfId="11" applyFont="1" applyAlignment="1">
      <alignment horizontal="left" vertical="top" wrapText="1"/>
    </xf>
    <xf numFmtId="0" fontId="0" fillId="0" borderId="0" xfId="11" applyFont="1" applyFill="1" applyAlignment="1">
      <alignment horizontal="left" wrapText="1"/>
    </xf>
    <xf numFmtId="0" fontId="11" fillId="0" borderId="0" xfId="11" applyFont="1" applyFill="1" applyAlignment="1">
      <alignment horizontal="left" vertical="top" wrapText="1"/>
    </xf>
    <xf numFmtId="0" fontId="11" fillId="0" borderId="0" xfId="11" applyFont="1" applyBorder="1" applyAlignment="1">
      <alignment horizontal="left" wrapText="1"/>
    </xf>
    <xf numFmtId="0" fontId="11" fillId="0" borderId="0" xfId="11"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6" fillId="0" borderId="0" xfId="11" applyFont="1" applyFill="1" applyAlignment="1">
      <alignment horizontal="left" wrapText="1"/>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0" fillId="4" borderId="9" xfId="0" applyFill="1" applyBorder="1" applyAlignment="1">
      <alignment horizontal="left"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11" fillId="0" borderId="0" xfId="11"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1" fontId="2" fillId="0" borderId="13" xfId="0" applyNumberFormat="1" applyFont="1" applyBorder="1" applyAlignment="1">
      <alignment horizontal="left" vertical="top" wrapText="1"/>
    </xf>
    <xf numFmtId="1" fontId="2" fillId="0" borderId="15" xfId="0" applyNumberFormat="1" applyFont="1" applyBorder="1" applyAlignment="1">
      <alignment horizontal="left" vertical="top" wrapText="1"/>
    </xf>
    <xf numFmtId="1" fontId="2" fillId="0" borderId="17" xfId="0" applyNumberFormat="1" applyFont="1" applyBorder="1" applyAlignment="1">
      <alignment horizontal="left" vertical="top" wrapText="1"/>
    </xf>
    <xf numFmtId="0" fontId="11" fillId="0" borderId="0" xfId="11" applyFont="1" applyFill="1" applyAlignment="1">
      <alignment horizontal="left" vertical="top"/>
    </xf>
    <xf numFmtId="0" fontId="11" fillId="0" borderId="0" xfId="11" applyFont="1" applyFill="1" applyAlignment="1">
      <alignment horizontal="left"/>
    </xf>
    <xf numFmtId="0" fontId="0" fillId="0" borderId="0" xfId="0" applyAlignment="1">
      <alignment horizontal="left" vertical="top"/>
    </xf>
  </cellXfs>
  <cellStyles count="16">
    <cellStyle name="Comma" xfId="1" builtinId="3"/>
    <cellStyle name="Comma 2" xfId="5" xr:uid="{221A54DD-D245-4A33-88CC-1A0F1FC897C9}"/>
    <cellStyle name="Comma 2 2" xfId="14" xr:uid="{1100E5E8-F5C5-47A4-8102-0AADDB463398}"/>
    <cellStyle name="Comma 3" xfId="13" xr:uid="{B58C3EB1-6FB8-4192-936B-017E4028F738}"/>
    <cellStyle name="Hyperlink" xfId="11" builtinId="8"/>
    <cellStyle name="Normal" xfId="0" builtinId="0"/>
    <cellStyle name="Normal 2" xfId="2" xr:uid="{00000000-0005-0000-0000-000002000000}"/>
    <cellStyle name="Normal 2 2" xfId="7" xr:uid="{EF70D076-A1BC-4259-9FA6-DE832F22CE5A}"/>
    <cellStyle name="Normal 3" xfId="3" xr:uid="{00000000-0005-0000-0000-000003000000}"/>
    <cellStyle name="Normal 4" xfId="4" xr:uid="{460D95CC-9959-4A4C-9ACE-B050C977CF45}"/>
    <cellStyle name="Normal 5" xfId="8" xr:uid="{6C7C1982-BA55-4A50-8A7C-1FA9FC741636}"/>
    <cellStyle name="Normal 6" xfId="9" xr:uid="{2A3937BB-88A5-442B-8C67-5791FBB51F9C}"/>
    <cellStyle name="Normal 7" xfId="12" xr:uid="{061208A0-15C8-49C7-B4DA-884C4B09ED1B}"/>
    <cellStyle name="Normal 7 2" xfId="15" xr:uid="{B8B315E3-54CF-456B-A2F9-20C61B3CC164}"/>
    <cellStyle name="Percent" xfId="10" builtinId="5"/>
    <cellStyle name="Percent 2" xfId="6" xr:uid="{C094E91C-CD96-4F18-99B9-A9ADF3E25235}"/>
  </cellStyles>
  <dxfs count="4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ill>
        <patternFill patternType="solid">
          <fgColor indexed="64"/>
          <bgColor rgb="FFFFFF00"/>
        </patternFill>
      </fill>
    </dxf>
    <dxf>
      <fill>
        <patternFill patternType="solid">
          <bgColor rgb="FFFFC000"/>
        </patternFill>
      </fill>
    </dxf>
    <dxf>
      <fill>
        <patternFill patternType="solid">
          <bgColor rgb="FFFFC000"/>
        </patternFill>
      </fill>
    </dxf>
  </dxfs>
  <tableStyles count="0" defaultTableStyle="TableStyleMedium2" defaultPivotStyle="PivotStyleLight16"/>
  <colors>
    <mruColors>
      <color rgb="FFEA5284"/>
      <color rgb="FF593684"/>
      <color rgb="FFFF6600"/>
      <color rgb="FF2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NHS trusts in England</c:v>
          </c:tx>
          <c:spPr>
            <a:solidFill>
              <a:srgbClr val="593684"/>
            </a:solidFill>
            <a:ln>
              <a:solidFill>
                <a:srgbClr val="593684"/>
              </a:solidFill>
            </a:ln>
            <a:effectLst/>
          </c:spPr>
          <c:cat>
            <c:numRef>
              <c:f>trust_cosd_quality!$S$2:$S$129</c:f>
              <c:numCache>
                <c:formatCode>General</c:formatCode>
                <c:ptCount val="128"/>
                <c:pt idx="0">
                  <c:v>52</c:v>
                </c:pt>
                <c:pt idx="1">
                  <c:v>33</c:v>
                </c:pt>
                <c:pt idx="2">
                  <c:v>7</c:v>
                </c:pt>
                <c:pt idx="3">
                  <c:v>53</c:v>
                </c:pt>
                <c:pt idx="4">
                  <c:v>54</c:v>
                </c:pt>
                <c:pt idx="5">
                  <c:v>55</c:v>
                </c:pt>
                <c:pt idx="6">
                  <c:v>19</c:v>
                </c:pt>
                <c:pt idx="7">
                  <c:v>56</c:v>
                </c:pt>
                <c:pt idx="8">
                  <c:v>57</c:v>
                </c:pt>
                <c:pt idx="9">
                  <c:v>58</c:v>
                </c:pt>
                <c:pt idx="10">
                  <c:v>59</c:v>
                </c:pt>
                <c:pt idx="11">
                  <c:v>60</c:v>
                </c:pt>
                <c:pt idx="12">
                  <c:v>61</c:v>
                </c:pt>
                <c:pt idx="13">
                  <c:v>62</c:v>
                </c:pt>
                <c:pt idx="14">
                  <c:v>63</c:v>
                </c:pt>
                <c:pt idx="15">
                  <c:v>29</c:v>
                </c:pt>
                <c:pt idx="16">
                  <c:v>14</c:v>
                </c:pt>
                <c:pt idx="17">
                  <c:v>8</c:v>
                </c:pt>
                <c:pt idx="18">
                  <c:v>28</c:v>
                </c:pt>
                <c:pt idx="19">
                  <c:v>10</c:v>
                </c:pt>
                <c:pt idx="20">
                  <c:v>64</c:v>
                </c:pt>
                <c:pt idx="21">
                  <c:v>65</c:v>
                </c:pt>
                <c:pt idx="22">
                  <c:v>30</c:v>
                </c:pt>
                <c:pt idx="23">
                  <c:v>66</c:v>
                </c:pt>
                <c:pt idx="24">
                  <c:v>67</c:v>
                </c:pt>
                <c:pt idx="25">
                  <c:v>68</c:v>
                </c:pt>
                <c:pt idx="26">
                  <c:v>3</c:v>
                </c:pt>
                <c:pt idx="27">
                  <c:v>69</c:v>
                </c:pt>
                <c:pt idx="28">
                  <c:v>70</c:v>
                </c:pt>
                <c:pt idx="29">
                  <c:v>71</c:v>
                </c:pt>
                <c:pt idx="30">
                  <c:v>72</c:v>
                </c:pt>
                <c:pt idx="31">
                  <c:v>73</c:v>
                </c:pt>
                <c:pt idx="32">
                  <c:v>74</c:v>
                </c:pt>
                <c:pt idx="33">
                  <c:v>75</c:v>
                </c:pt>
                <c:pt idx="34">
                  <c:v>76</c:v>
                </c:pt>
                <c:pt idx="35">
                  <c:v>77</c:v>
                </c:pt>
                <c:pt idx="36">
                  <c:v>46</c:v>
                </c:pt>
                <c:pt idx="37">
                  <c:v>78</c:v>
                </c:pt>
                <c:pt idx="38">
                  <c:v>79</c:v>
                </c:pt>
                <c:pt idx="39">
                  <c:v>80</c:v>
                </c:pt>
                <c:pt idx="40">
                  <c:v>27</c:v>
                </c:pt>
                <c:pt idx="41">
                  <c:v>81</c:v>
                </c:pt>
                <c:pt idx="42">
                  <c:v>82</c:v>
                </c:pt>
                <c:pt idx="43">
                  <c:v>83</c:v>
                </c:pt>
                <c:pt idx="44">
                  <c:v>32</c:v>
                </c:pt>
                <c:pt idx="45">
                  <c:v>47</c:v>
                </c:pt>
                <c:pt idx="46">
                  <c:v>84</c:v>
                </c:pt>
                <c:pt idx="47">
                  <c:v>11</c:v>
                </c:pt>
                <c:pt idx="48">
                  <c:v>85</c:v>
                </c:pt>
                <c:pt idx="49">
                  <c:v>86</c:v>
                </c:pt>
                <c:pt idx="50">
                  <c:v>87</c:v>
                </c:pt>
                <c:pt idx="51">
                  <c:v>88</c:v>
                </c:pt>
                <c:pt idx="52">
                  <c:v>89</c:v>
                </c:pt>
                <c:pt idx="53">
                  <c:v>90</c:v>
                </c:pt>
                <c:pt idx="54">
                  <c:v>2</c:v>
                </c:pt>
                <c:pt idx="55">
                  <c:v>5</c:v>
                </c:pt>
                <c:pt idx="56">
                  <c:v>91</c:v>
                </c:pt>
                <c:pt idx="57">
                  <c:v>92</c:v>
                </c:pt>
                <c:pt idx="58">
                  <c:v>93</c:v>
                </c:pt>
                <c:pt idx="59">
                  <c:v>94</c:v>
                </c:pt>
                <c:pt idx="60">
                  <c:v>20</c:v>
                </c:pt>
                <c:pt idx="61">
                  <c:v>38</c:v>
                </c:pt>
                <c:pt idx="62">
                  <c:v>95</c:v>
                </c:pt>
                <c:pt idx="63">
                  <c:v>96</c:v>
                </c:pt>
                <c:pt idx="64">
                  <c:v>97</c:v>
                </c:pt>
                <c:pt idx="65">
                  <c:v>98</c:v>
                </c:pt>
                <c:pt idx="66">
                  <c:v>99</c:v>
                </c:pt>
                <c:pt idx="67">
                  <c:v>100</c:v>
                </c:pt>
                <c:pt idx="68">
                  <c:v>41</c:v>
                </c:pt>
                <c:pt idx="69">
                  <c:v>18</c:v>
                </c:pt>
                <c:pt idx="70">
                  <c:v>31</c:v>
                </c:pt>
                <c:pt idx="71">
                  <c:v>9</c:v>
                </c:pt>
                <c:pt idx="72">
                  <c:v>101</c:v>
                </c:pt>
                <c:pt idx="73">
                  <c:v>102</c:v>
                </c:pt>
                <c:pt idx="74">
                  <c:v>103</c:v>
                </c:pt>
                <c:pt idx="75">
                  <c:v>104</c:v>
                </c:pt>
                <c:pt idx="76">
                  <c:v>105</c:v>
                </c:pt>
                <c:pt idx="77">
                  <c:v>106</c:v>
                </c:pt>
                <c:pt idx="78">
                  <c:v>107</c:v>
                </c:pt>
                <c:pt idx="79">
                  <c:v>108</c:v>
                </c:pt>
                <c:pt idx="80">
                  <c:v>15</c:v>
                </c:pt>
                <c:pt idx="81">
                  <c:v>39</c:v>
                </c:pt>
                <c:pt idx="82">
                  <c:v>34</c:v>
                </c:pt>
                <c:pt idx="83">
                  <c:v>42</c:v>
                </c:pt>
                <c:pt idx="84">
                  <c:v>109</c:v>
                </c:pt>
                <c:pt idx="85">
                  <c:v>110</c:v>
                </c:pt>
                <c:pt idx="86">
                  <c:v>111</c:v>
                </c:pt>
                <c:pt idx="87">
                  <c:v>26</c:v>
                </c:pt>
                <c:pt idx="88">
                  <c:v>43</c:v>
                </c:pt>
                <c:pt idx="89">
                  <c:v>17</c:v>
                </c:pt>
                <c:pt idx="90">
                  <c:v>112</c:v>
                </c:pt>
                <c:pt idx="91">
                  <c:v>48</c:v>
                </c:pt>
                <c:pt idx="92">
                  <c:v>36</c:v>
                </c:pt>
                <c:pt idx="93">
                  <c:v>113</c:v>
                </c:pt>
                <c:pt idx="94">
                  <c:v>114</c:v>
                </c:pt>
                <c:pt idx="95">
                  <c:v>23</c:v>
                </c:pt>
                <c:pt idx="96">
                  <c:v>50</c:v>
                </c:pt>
                <c:pt idx="97">
                  <c:v>1</c:v>
                </c:pt>
                <c:pt idx="98">
                  <c:v>115</c:v>
                </c:pt>
                <c:pt idx="99">
                  <c:v>44</c:v>
                </c:pt>
                <c:pt idx="100">
                  <c:v>116</c:v>
                </c:pt>
                <c:pt idx="101">
                  <c:v>117</c:v>
                </c:pt>
                <c:pt idx="102">
                  <c:v>118</c:v>
                </c:pt>
                <c:pt idx="103">
                  <c:v>119</c:v>
                </c:pt>
                <c:pt idx="104">
                  <c:v>40</c:v>
                </c:pt>
                <c:pt idx="105">
                  <c:v>120</c:v>
                </c:pt>
                <c:pt idx="106">
                  <c:v>13</c:v>
                </c:pt>
                <c:pt idx="107">
                  <c:v>121</c:v>
                </c:pt>
                <c:pt idx="108">
                  <c:v>51</c:v>
                </c:pt>
                <c:pt idx="109">
                  <c:v>25</c:v>
                </c:pt>
                <c:pt idx="110">
                  <c:v>12</c:v>
                </c:pt>
                <c:pt idx="111">
                  <c:v>122</c:v>
                </c:pt>
                <c:pt idx="112">
                  <c:v>4</c:v>
                </c:pt>
                <c:pt idx="113">
                  <c:v>45</c:v>
                </c:pt>
                <c:pt idx="114">
                  <c:v>16</c:v>
                </c:pt>
                <c:pt idx="115">
                  <c:v>49</c:v>
                </c:pt>
                <c:pt idx="116">
                  <c:v>123</c:v>
                </c:pt>
                <c:pt idx="117">
                  <c:v>37</c:v>
                </c:pt>
                <c:pt idx="118">
                  <c:v>124</c:v>
                </c:pt>
                <c:pt idx="119">
                  <c:v>21</c:v>
                </c:pt>
                <c:pt idx="120">
                  <c:v>6</c:v>
                </c:pt>
                <c:pt idx="121">
                  <c:v>24</c:v>
                </c:pt>
                <c:pt idx="122">
                  <c:v>125</c:v>
                </c:pt>
                <c:pt idx="123">
                  <c:v>126</c:v>
                </c:pt>
                <c:pt idx="124">
                  <c:v>35</c:v>
                </c:pt>
                <c:pt idx="125">
                  <c:v>22</c:v>
                </c:pt>
                <c:pt idx="126">
                  <c:v>127</c:v>
                </c:pt>
                <c:pt idx="127">
                  <c:v>128</c:v>
                </c:pt>
              </c:numCache>
            </c:numRef>
          </c:cat>
          <c:val>
            <c:numRef>
              <c:f>trust_cosd_quality!$R$2:$R$129</c:f>
              <c:numCache>
                <c:formatCode>0.00</c:formatCode>
                <c:ptCount val="128"/>
                <c:pt idx="0">
                  <c:v>0</c:v>
                </c:pt>
                <c:pt idx="1">
                  <c:v>0.11</c:v>
                </c:pt>
                <c:pt idx="2">
                  <c:v>0.43</c:v>
                </c:pt>
                <c:pt idx="3">
                  <c:v>0</c:v>
                </c:pt>
                <c:pt idx="4">
                  <c:v>0</c:v>
                </c:pt>
                <c:pt idx="5">
                  <c:v>0</c:v>
                </c:pt>
                <c:pt idx="6">
                  <c:v>0.21</c:v>
                </c:pt>
                <c:pt idx="7">
                  <c:v>0</c:v>
                </c:pt>
                <c:pt idx="8">
                  <c:v>0</c:v>
                </c:pt>
                <c:pt idx="9">
                  <c:v>0</c:v>
                </c:pt>
                <c:pt idx="10">
                  <c:v>0</c:v>
                </c:pt>
                <c:pt idx="11">
                  <c:v>0</c:v>
                </c:pt>
                <c:pt idx="12">
                  <c:v>0</c:v>
                </c:pt>
                <c:pt idx="13">
                  <c:v>0</c:v>
                </c:pt>
                <c:pt idx="14">
                  <c:v>0</c:v>
                </c:pt>
                <c:pt idx="15">
                  <c:v>0.13</c:v>
                </c:pt>
                <c:pt idx="16">
                  <c:v>0.24</c:v>
                </c:pt>
                <c:pt idx="17">
                  <c:v>0.43</c:v>
                </c:pt>
                <c:pt idx="18">
                  <c:v>0.14000000000000001</c:v>
                </c:pt>
                <c:pt idx="19">
                  <c:v>0.35</c:v>
                </c:pt>
                <c:pt idx="20">
                  <c:v>0</c:v>
                </c:pt>
                <c:pt idx="21">
                  <c:v>0</c:v>
                </c:pt>
                <c:pt idx="22">
                  <c:v>0.13</c:v>
                </c:pt>
                <c:pt idx="23">
                  <c:v>0</c:v>
                </c:pt>
                <c:pt idx="24">
                  <c:v>0</c:v>
                </c:pt>
                <c:pt idx="25">
                  <c:v>0</c:v>
                </c:pt>
                <c:pt idx="26">
                  <c:v>0.67</c:v>
                </c:pt>
                <c:pt idx="27">
                  <c:v>0</c:v>
                </c:pt>
                <c:pt idx="28">
                  <c:v>0</c:v>
                </c:pt>
                <c:pt idx="29">
                  <c:v>0</c:v>
                </c:pt>
                <c:pt idx="30">
                  <c:v>0</c:v>
                </c:pt>
                <c:pt idx="31">
                  <c:v>0</c:v>
                </c:pt>
                <c:pt idx="32">
                  <c:v>0</c:v>
                </c:pt>
                <c:pt idx="33">
                  <c:v>0</c:v>
                </c:pt>
                <c:pt idx="34">
                  <c:v>0</c:v>
                </c:pt>
                <c:pt idx="35">
                  <c:v>0</c:v>
                </c:pt>
                <c:pt idx="36">
                  <c:v>0.03</c:v>
                </c:pt>
                <c:pt idx="37">
                  <c:v>0</c:v>
                </c:pt>
                <c:pt idx="38">
                  <c:v>0</c:v>
                </c:pt>
                <c:pt idx="39">
                  <c:v>0</c:v>
                </c:pt>
                <c:pt idx="40">
                  <c:v>0.15</c:v>
                </c:pt>
                <c:pt idx="41">
                  <c:v>0</c:v>
                </c:pt>
                <c:pt idx="42">
                  <c:v>0</c:v>
                </c:pt>
                <c:pt idx="43">
                  <c:v>0</c:v>
                </c:pt>
                <c:pt idx="44">
                  <c:v>0.12</c:v>
                </c:pt>
                <c:pt idx="45">
                  <c:v>0.03</c:v>
                </c:pt>
                <c:pt idx="46">
                  <c:v>0</c:v>
                </c:pt>
                <c:pt idx="47">
                  <c:v>0.28999999999999998</c:v>
                </c:pt>
                <c:pt idx="48">
                  <c:v>0</c:v>
                </c:pt>
                <c:pt idx="49">
                  <c:v>0</c:v>
                </c:pt>
                <c:pt idx="50">
                  <c:v>0</c:v>
                </c:pt>
                <c:pt idx="51">
                  <c:v>0</c:v>
                </c:pt>
                <c:pt idx="52">
                  <c:v>0</c:v>
                </c:pt>
                <c:pt idx="53">
                  <c:v>0</c:v>
                </c:pt>
                <c:pt idx="54">
                  <c:v>0.7</c:v>
                </c:pt>
                <c:pt idx="55">
                  <c:v>0.5</c:v>
                </c:pt>
                <c:pt idx="56">
                  <c:v>0</c:v>
                </c:pt>
                <c:pt idx="57">
                  <c:v>0</c:v>
                </c:pt>
                <c:pt idx="58">
                  <c:v>0</c:v>
                </c:pt>
                <c:pt idx="59">
                  <c:v>0</c:v>
                </c:pt>
                <c:pt idx="60">
                  <c:v>0.2</c:v>
                </c:pt>
                <c:pt idx="61">
                  <c:v>0.08</c:v>
                </c:pt>
                <c:pt idx="62">
                  <c:v>0</c:v>
                </c:pt>
                <c:pt idx="63">
                  <c:v>0</c:v>
                </c:pt>
                <c:pt idx="64">
                  <c:v>0</c:v>
                </c:pt>
                <c:pt idx="65">
                  <c:v>0</c:v>
                </c:pt>
                <c:pt idx="66">
                  <c:v>0</c:v>
                </c:pt>
                <c:pt idx="67">
                  <c:v>0</c:v>
                </c:pt>
                <c:pt idx="68">
                  <c:v>0.06</c:v>
                </c:pt>
                <c:pt idx="69">
                  <c:v>0.22</c:v>
                </c:pt>
                <c:pt idx="70">
                  <c:v>0.13</c:v>
                </c:pt>
                <c:pt idx="71">
                  <c:v>0.36</c:v>
                </c:pt>
                <c:pt idx="72">
                  <c:v>0</c:v>
                </c:pt>
                <c:pt idx="73">
                  <c:v>0</c:v>
                </c:pt>
                <c:pt idx="74">
                  <c:v>0</c:v>
                </c:pt>
                <c:pt idx="75">
                  <c:v>0</c:v>
                </c:pt>
                <c:pt idx="76">
                  <c:v>0</c:v>
                </c:pt>
                <c:pt idx="77">
                  <c:v>0</c:v>
                </c:pt>
                <c:pt idx="78">
                  <c:v>0</c:v>
                </c:pt>
                <c:pt idx="79">
                  <c:v>0</c:v>
                </c:pt>
                <c:pt idx="80">
                  <c:v>0.24</c:v>
                </c:pt>
                <c:pt idx="81">
                  <c:v>0.08</c:v>
                </c:pt>
                <c:pt idx="82">
                  <c:v>0.11</c:v>
                </c:pt>
                <c:pt idx="83">
                  <c:v>0.05</c:v>
                </c:pt>
                <c:pt idx="84">
                  <c:v>0</c:v>
                </c:pt>
                <c:pt idx="85">
                  <c:v>0</c:v>
                </c:pt>
                <c:pt idx="86">
                  <c:v>0</c:v>
                </c:pt>
                <c:pt idx="87">
                  <c:v>0.16</c:v>
                </c:pt>
                <c:pt idx="88">
                  <c:v>0.05</c:v>
                </c:pt>
                <c:pt idx="89">
                  <c:v>0.23</c:v>
                </c:pt>
                <c:pt idx="90">
                  <c:v>0</c:v>
                </c:pt>
                <c:pt idx="91">
                  <c:v>0.03</c:v>
                </c:pt>
                <c:pt idx="92">
                  <c:v>0.09</c:v>
                </c:pt>
                <c:pt idx="93">
                  <c:v>0</c:v>
                </c:pt>
                <c:pt idx="94">
                  <c:v>0</c:v>
                </c:pt>
                <c:pt idx="95">
                  <c:v>0.19</c:v>
                </c:pt>
                <c:pt idx="96">
                  <c:v>0.02</c:v>
                </c:pt>
                <c:pt idx="97">
                  <c:v>0.81</c:v>
                </c:pt>
                <c:pt idx="98">
                  <c:v>0</c:v>
                </c:pt>
                <c:pt idx="99">
                  <c:v>0.05</c:v>
                </c:pt>
                <c:pt idx="100">
                  <c:v>0</c:v>
                </c:pt>
                <c:pt idx="101">
                  <c:v>0</c:v>
                </c:pt>
                <c:pt idx="102">
                  <c:v>0</c:v>
                </c:pt>
                <c:pt idx="103">
                  <c:v>0</c:v>
                </c:pt>
                <c:pt idx="104">
                  <c:v>7.0000000000000007E-2</c:v>
                </c:pt>
                <c:pt idx="105">
                  <c:v>0</c:v>
                </c:pt>
                <c:pt idx="106">
                  <c:v>0.25</c:v>
                </c:pt>
                <c:pt idx="107">
                  <c:v>0</c:v>
                </c:pt>
                <c:pt idx="108">
                  <c:v>0.02</c:v>
                </c:pt>
                <c:pt idx="109">
                  <c:v>0.17</c:v>
                </c:pt>
                <c:pt idx="110">
                  <c:v>0.27</c:v>
                </c:pt>
                <c:pt idx="111">
                  <c:v>0</c:v>
                </c:pt>
                <c:pt idx="112">
                  <c:v>0.67</c:v>
                </c:pt>
                <c:pt idx="113">
                  <c:v>0.04</c:v>
                </c:pt>
                <c:pt idx="114">
                  <c:v>0.24</c:v>
                </c:pt>
                <c:pt idx="115">
                  <c:v>0.03</c:v>
                </c:pt>
                <c:pt idx="116">
                  <c:v>0</c:v>
                </c:pt>
                <c:pt idx="117">
                  <c:v>0.09</c:v>
                </c:pt>
                <c:pt idx="118">
                  <c:v>0</c:v>
                </c:pt>
                <c:pt idx="119">
                  <c:v>0.2</c:v>
                </c:pt>
                <c:pt idx="120">
                  <c:v>0.44</c:v>
                </c:pt>
                <c:pt idx="121">
                  <c:v>0.18</c:v>
                </c:pt>
                <c:pt idx="122">
                  <c:v>0</c:v>
                </c:pt>
                <c:pt idx="123">
                  <c:v>0</c:v>
                </c:pt>
                <c:pt idx="124">
                  <c:v>0.1</c:v>
                </c:pt>
                <c:pt idx="125">
                  <c:v>0.2</c:v>
                </c:pt>
                <c:pt idx="126">
                  <c:v>0</c:v>
                </c:pt>
                <c:pt idx="127">
                  <c:v>0</c:v>
                </c:pt>
              </c:numCache>
            </c:numRef>
          </c:val>
          <c:extLst>
            <c:ext xmlns:c16="http://schemas.microsoft.com/office/drawing/2014/chart" uri="{C3380CC4-5D6E-409C-BE32-E72D297353CC}">
              <c16:uniqueId val="{00000000-4A59-4B9C-B679-6F4EB6A6ED53}"/>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'Dashboard-COSD'!$C$10</c:f>
              <c:strCache>
                <c:ptCount val="1"/>
                <c:pt idx="0">
                  <c:v>Airedale NHS Foundation Trust</c:v>
                </c:pt>
              </c:strCache>
            </c:strRef>
          </c:tx>
          <c:spPr>
            <a:ln w="28575" cap="rnd">
              <a:solidFill>
                <a:srgbClr val="EA5284"/>
              </a:solidFill>
              <a:round/>
            </a:ln>
            <a:effectLst/>
          </c:spPr>
          <c:marker>
            <c:symbol val="none"/>
          </c:marker>
          <c:xVal>
            <c:numRef>
              <c:f>Links!$C$34:$C$35</c:f>
              <c:numCache>
                <c:formatCode>0</c:formatCode>
                <c:ptCount val="2"/>
                <c:pt idx="0">
                  <c:v>52</c:v>
                </c:pt>
                <c:pt idx="1">
                  <c:v>52</c:v>
                </c:pt>
              </c:numCache>
            </c:numRef>
          </c:xVal>
          <c:yVal>
            <c:numRef>
              <c:f>Links!$D$34:$D$35</c:f>
              <c:numCache>
                <c:formatCode>General</c:formatCode>
                <c:ptCount val="2"/>
                <c:pt idx="0" formatCode="0.00">
                  <c:v>0</c:v>
                </c:pt>
                <c:pt idx="1">
                  <c:v>0</c:v>
                </c:pt>
              </c:numCache>
            </c:numRef>
          </c:yVal>
          <c:smooth val="0"/>
          <c:extLst>
            <c:ext xmlns:c16="http://schemas.microsoft.com/office/drawing/2014/chart" uri="{C3380CC4-5D6E-409C-BE32-E72D297353CC}">
              <c16:uniqueId val="{00000001-4A59-4B9C-B679-6F4EB6A6ED53}"/>
            </c:ext>
          </c:extLst>
        </c:ser>
        <c:ser>
          <c:idx val="1"/>
          <c:order val="2"/>
          <c:tx>
            <c:v>Target</c:v>
          </c:tx>
          <c:spPr>
            <a:ln w="28575" cap="rnd">
              <a:solidFill>
                <a:sysClr val="windowText" lastClr="000000"/>
              </a:solidFill>
              <a:prstDash val="sysDash"/>
              <a:round/>
            </a:ln>
            <a:effectLst/>
          </c:spPr>
          <c:marker>
            <c:symbol val="none"/>
          </c:marker>
          <c:xVal>
            <c:numRef>
              <c:f>Links!$E$34:$E$35</c:f>
              <c:numCache>
                <c:formatCode>General</c:formatCode>
                <c:ptCount val="2"/>
                <c:pt idx="0">
                  <c:v>0</c:v>
                </c:pt>
                <c:pt idx="1">
                  <c:v>129</c:v>
                </c:pt>
              </c:numCache>
            </c:numRef>
          </c:xVal>
          <c:yVal>
            <c:numRef>
              <c:f>Links!$F$34:$F$35</c:f>
              <c:numCache>
                <c:formatCode>General</c:formatCode>
                <c:ptCount val="2"/>
                <c:pt idx="0">
                  <c:v>0.9</c:v>
                </c:pt>
                <c:pt idx="1">
                  <c:v>0.9</c:v>
                </c:pt>
              </c:numCache>
            </c:numRef>
          </c:yVal>
          <c:smooth val="0"/>
          <c:extLst>
            <c:ext xmlns:c16="http://schemas.microsoft.com/office/drawing/2014/chart" uri="{C3380CC4-5D6E-409C-BE32-E72D297353CC}">
              <c16:uniqueId val="{00000003-6FA1-4DEC-B891-E8125933D1C8}"/>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NHS trust 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[0]!selected_cosdq_descr_xc</c:f>
              <c:strCache>
                <c:ptCount val="1"/>
                <c:pt idx="0">
                  <c:v>Data completeness for Revised International Prognostic Index (R-IPI)</c:v>
                </c:pt>
              </c:strCache>
            </c:strRef>
          </c:tx>
          <c:layout>
            <c:manualLayout>
              <c:xMode val="edge"/>
              <c:yMode val="edge"/>
              <c:x val="2.0134686213108825E-2"/>
              <c:y val="0.2189736267066448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NHS trusts in England</c:v>
          </c:tx>
          <c:spPr>
            <a:solidFill>
              <a:srgbClr val="593684"/>
            </a:solidFill>
            <a:ln w="25400">
              <a:solidFill>
                <a:srgbClr val="593684"/>
              </a:solidFill>
            </a:ln>
            <a:effectLst/>
          </c:spPr>
          <c:cat>
            <c:numRef>
              <c:f>trust_rcrd_quality!$L$2:$L$130</c:f>
              <c:numCache>
                <c:formatCode>General</c:formatCode>
                <c:ptCount val="129"/>
                <c:pt idx="0">
                  <c:v>27</c:v>
                </c:pt>
                <c:pt idx="1">
                  <c:v>76</c:v>
                </c:pt>
                <c:pt idx="2">
                  <c:v>77</c:v>
                </c:pt>
                <c:pt idx="3">
                  <c:v>53</c:v>
                </c:pt>
                <c:pt idx="4">
                  <c:v>46</c:v>
                </c:pt>
                <c:pt idx="5">
                  <c:v>102</c:v>
                </c:pt>
                <c:pt idx="6">
                  <c:v>124</c:v>
                </c:pt>
                <c:pt idx="7">
                  <c:v>78</c:v>
                </c:pt>
                <c:pt idx="8">
                  <c:v>1</c:v>
                </c:pt>
                <c:pt idx="9">
                  <c:v>96</c:v>
                </c:pt>
                <c:pt idx="10">
                  <c:v>19</c:v>
                </c:pt>
                <c:pt idx="11">
                  <c:v>28</c:v>
                </c:pt>
                <c:pt idx="12">
                  <c:v>115</c:v>
                </c:pt>
                <c:pt idx="13">
                  <c:v>29</c:v>
                </c:pt>
                <c:pt idx="14">
                  <c:v>129</c:v>
                </c:pt>
                <c:pt idx="15">
                  <c:v>97</c:v>
                </c:pt>
                <c:pt idx="16">
                  <c:v>92</c:v>
                </c:pt>
                <c:pt idx="17">
                  <c:v>62</c:v>
                </c:pt>
                <c:pt idx="18">
                  <c:v>30</c:v>
                </c:pt>
                <c:pt idx="19">
                  <c:v>79</c:v>
                </c:pt>
                <c:pt idx="20">
                  <c:v>80</c:v>
                </c:pt>
                <c:pt idx="21">
                  <c:v>113</c:v>
                </c:pt>
                <c:pt idx="22">
                  <c:v>63</c:v>
                </c:pt>
                <c:pt idx="23">
                  <c:v>64</c:v>
                </c:pt>
                <c:pt idx="24">
                  <c:v>2</c:v>
                </c:pt>
                <c:pt idx="25">
                  <c:v>93</c:v>
                </c:pt>
                <c:pt idx="26">
                  <c:v>65</c:v>
                </c:pt>
                <c:pt idx="27">
                  <c:v>103</c:v>
                </c:pt>
                <c:pt idx="28">
                  <c:v>54</c:v>
                </c:pt>
                <c:pt idx="29">
                  <c:v>3</c:v>
                </c:pt>
                <c:pt idx="30">
                  <c:v>108</c:v>
                </c:pt>
                <c:pt idx="31">
                  <c:v>66</c:v>
                </c:pt>
                <c:pt idx="32">
                  <c:v>104</c:v>
                </c:pt>
                <c:pt idx="33">
                  <c:v>31</c:v>
                </c:pt>
                <c:pt idx="34">
                  <c:v>32</c:v>
                </c:pt>
                <c:pt idx="35">
                  <c:v>116</c:v>
                </c:pt>
                <c:pt idx="36">
                  <c:v>67</c:v>
                </c:pt>
                <c:pt idx="37">
                  <c:v>4</c:v>
                </c:pt>
                <c:pt idx="38">
                  <c:v>55</c:v>
                </c:pt>
                <c:pt idx="39">
                  <c:v>81</c:v>
                </c:pt>
                <c:pt idx="40">
                  <c:v>117</c:v>
                </c:pt>
                <c:pt idx="41">
                  <c:v>68</c:v>
                </c:pt>
                <c:pt idx="42">
                  <c:v>5</c:v>
                </c:pt>
                <c:pt idx="43">
                  <c:v>33</c:v>
                </c:pt>
                <c:pt idx="44">
                  <c:v>6</c:v>
                </c:pt>
                <c:pt idx="45">
                  <c:v>128</c:v>
                </c:pt>
                <c:pt idx="46">
                  <c:v>47</c:v>
                </c:pt>
                <c:pt idx="47">
                  <c:v>69</c:v>
                </c:pt>
                <c:pt idx="48">
                  <c:v>70</c:v>
                </c:pt>
                <c:pt idx="49">
                  <c:v>71</c:v>
                </c:pt>
                <c:pt idx="50">
                  <c:v>7</c:v>
                </c:pt>
                <c:pt idx="51">
                  <c:v>82</c:v>
                </c:pt>
                <c:pt idx="52">
                  <c:v>34</c:v>
                </c:pt>
                <c:pt idx="53">
                  <c:v>56</c:v>
                </c:pt>
                <c:pt idx="54">
                  <c:v>48</c:v>
                </c:pt>
                <c:pt idx="55">
                  <c:v>83</c:v>
                </c:pt>
                <c:pt idx="56">
                  <c:v>20</c:v>
                </c:pt>
                <c:pt idx="57">
                  <c:v>84</c:v>
                </c:pt>
                <c:pt idx="58">
                  <c:v>57</c:v>
                </c:pt>
                <c:pt idx="59">
                  <c:v>21</c:v>
                </c:pt>
                <c:pt idx="60">
                  <c:v>49</c:v>
                </c:pt>
                <c:pt idx="61">
                  <c:v>22</c:v>
                </c:pt>
                <c:pt idx="62">
                  <c:v>35</c:v>
                </c:pt>
                <c:pt idx="63">
                  <c:v>36</c:v>
                </c:pt>
                <c:pt idx="64">
                  <c:v>85</c:v>
                </c:pt>
                <c:pt idx="65">
                  <c:v>114</c:v>
                </c:pt>
                <c:pt idx="66">
                  <c:v>50</c:v>
                </c:pt>
                <c:pt idx="67">
                  <c:v>72</c:v>
                </c:pt>
                <c:pt idx="68">
                  <c:v>37</c:v>
                </c:pt>
                <c:pt idx="69">
                  <c:v>73</c:v>
                </c:pt>
                <c:pt idx="70">
                  <c:v>8</c:v>
                </c:pt>
                <c:pt idx="71">
                  <c:v>58</c:v>
                </c:pt>
                <c:pt idx="72">
                  <c:v>109</c:v>
                </c:pt>
                <c:pt idx="73">
                  <c:v>120</c:v>
                </c:pt>
                <c:pt idx="74">
                  <c:v>125</c:v>
                </c:pt>
                <c:pt idx="75">
                  <c:v>38</c:v>
                </c:pt>
                <c:pt idx="76">
                  <c:v>39</c:v>
                </c:pt>
                <c:pt idx="77">
                  <c:v>118</c:v>
                </c:pt>
                <c:pt idx="78">
                  <c:v>9</c:v>
                </c:pt>
                <c:pt idx="79">
                  <c:v>40</c:v>
                </c:pt>
                <c:pt idx="80">
                  <c:v>41</c:v>
                </c:pt>
                <c:pt idx="81">
                  <c:v>23</c:v>
                </c:pt>
                <c:pt idx="82">
                  <c:v>126</c:v>
                </c:pt>
                <c:pt idx="83">
                  <c:v>51</c:v>
                </c:pt>
                <c:pt idx="84">
                  <c:v>10</c:v>
                </c:pt>
                <c:pt idx="85">
                  <c:v>74</c:v>
                </c:pt>
                <c:pt idx="86">
                  <c:v>11</c:v>
                </c:pt>
                <c:pt idx="87">
                  <c:v>12</c:v>
                </c:pt>
                <c:pt idx="88">
                  <c:v>98</c:v>
                </c:pt>
                <c:pt idx="89">
                  <c:v>94</c:v>
                </c:pt>
                <c:pt idx="90">
                  <c:v>59</c:v>
                </c:pt>
                <c:pt idx="91">
                  <c:v>127</c:v>
                </c:pt>
                <c:pt idx="92">
                  <c:v>42</c:v>
                </c:pt>
                <c:pt idx="93">
                  <c:v>105</c:v>
                </c:pt>
                <c:pt idx="94">
                  <c:v>13</c:v>
                </c:pt>
                <c:pt idx="95">
                  <c:v>24</c:v>
                </c:pt>
                <c:pt idx="96">
                  <c:v>119</c:v>
                </c:pt>
                <c:pt idx="97">
                  <c:v>86</c:v>
                </c:pt>
                <c:pt idx="98">
                  <c:v>14</c:v>
                </c:pt>
                <c:pt idx="99">
                  <c:v>25</c:v>
                </c:pt>
                <c:pt idx="100">
                  <c:v>52</c:v>
                </c:pt>
                <c:pt idx="101">
                  <c:v>99</c:v>
                </c:pt>
                <c:pt idx="102">
                  <c:v>121</c:v>
                </c:pt>
                <c:pt idx="103">
                  <c:v>110</c:v>
                </c:pt>
                <c:pt idx="104">
                  <c:v>15</c:v>
                </c:pt>
                <c:pt idx="105">
                  <c:v>26</c:v>
                </c:pt>
                <c:pt idx="106">
                  <c:v>100</c:v>
                </c:pt>
                <c:pt idx="107">
                  <c:v>60</c:v>
                </c:pt>
                <c:pt idx="108">
                  <c:v>106</c:v>
                </c:pt>
                <c:pt idx="109">
                  <c:v>87</c:v>
                </c:pt>
                <c:pt idx="110">
                  <c:v>88</c:v>
                </c:pt>
                <c:pt idx="111">
                  <c:v>111</c:v>
                </c:pt>
                <c:pt idx="112">
                  <c:v>95</c:v>
                </c:pt>
                <c:pt idx="113">
                  <c:v>101</c:v>
                </c:pt>
                <c:pt idx="114">
                  <c:v>43</c:v>
                </c:pt>
                <c:pt idx="115">
                  <c:v>89</c:v>
                </c:pt>
                <c:pt idx="116">
                  <c:v>44</c:v>
                </c:pt>
                <c:pt idx="117">
                  <c:v>90</c:v>
                </c:pt>
                <c:pt idx="118">
                  <c:v>107</c:v>
                </c:pt>
                <c:pt idx="119">
                  <c:v>112</c:v>
                </c:pt>
                <c:pt idx="120">
                  <c:v>16</c:v>
                </c:pt>
                <c:pt idx="121">
                  <c:v>91</c:v>
                </c:pt>
                <c:pt idx="122">
                  <c:v>17</c:v>
                </c:pt>
                <c:pt idx="123">
                  <c:v>122</c:v>
                </c:pt>
                <c:pt idx="124">
                  <c:v>18</c:v>
                </c:pt>
                <c:pt idx="125">
                  <c:v>61</c:v>
                </c:pt>
                <c:pt idx="126">
                  <c:v>45</c:v>
                </c:pt>
                <c:pt idx="127">
                  <c:v>123</c:v>
                </c:pt>
                <c:pt idx="128">
                  <c:v>75</c:v>
                </c:pt>
              </c:numCache>
            </c:numRef>
          </c:cat>
          <c:val>
            <c:numRef>
              <c:f>trust_rcrd_quality!$K$2:$K$130</c:f>
              <c:numCache>
                <c:formatCode>0.00</c:formatCode>
                <c:ptCount val="129"/>
                <c:pt idx="0">
                  <c:v>0.98</c:v>
                </c:pt>
                <c:pt idx="1">
                  <c:v>0.94</c:v>
                </c:pt>
                <c:pt idx="2">
                  <c:v>0.94</c:v>
                </c:pt>
                <c:pt idx="3">
                  <c:v>0.96</c:v>
                </c:pt>
                <c:pt idx="4">
                  <c:v>0.97</c:v>
                </c:pt>
                <c:pt idx="5">
                  <c:v>0.91</c:v>
                </c:pt>
                <c:pt idx="6">
                  <c:v>0.85</c:v>
                </c:pt>
                <c:pt idx="7">
                  <c:v>0.94</c:v>
                </c:pt>
                <c:pt idx="8">
                  <c:v>1</c:v>
                </c:pt>
                <c:pt idx="9">
                  <c:v>0.92</c:v>
                </c:pt>
                <c:pt idx="10">
                  <c:v>0.99</c:v>
                </c:pt>
                <c:pt idx="11">
                  <c:v>0.98</c:v>
                </c:pt>
                <c:pt idx="12">
                  <c:v>0.88</c:v>
                </c:pt>
                <c:pt idx="13">
                  <c:v>0.98</c:v>
                </c:pt>
                <c:pt idx="14">
                  <c:v>0.82</c:v>
                </c:pt>
                <c:pt idx="15">
                  <c:v>0.92</c:v>
                </c:pt>
                <c:pt idx="16">
                  <c:v>0.93</c:v>
                </c:pt>
                <c:pt idx="17">
                  <c:v>0.95</c:v>
                </c:pt>
                <c:pt idx="18">
                  <c:v>0.98</c:v>
                </c:pt>
                <c:pt idx="19">
                  <c:v>0.94</c:v>
                </c:pt>
                <c:pt idx="20">
                  <c:v>0.94</c:v>
                </c:pt>
                <c:pt idx="21">
                  <c:v>0.89</c:v>
                </c:pt>
                <c:pt idx="22">
                  <c:v>0.95</c:v>
                </c:pt>
                <c:pt idx="23">
                  <c:v>0.95</c:v>
                </c:pt>
                <c:pt idx="24">
                  <c:v>1</c:v>
                </c:pt>
                <c:pt idx="25">
                  <c:v>0.93</c:v>
                </c:pt>
                <c:pt idx="26">
                  <c:v>0.95</c:v>
                </c:pt>
                <c:pt idx="27">
                  <c:v>0.91</c:v>
                </c:pt>
                <c:pt idx="28">
                  <c:v>0.96</c:v>
                </c:pt>
                <c:pt idx="29">
                  <c:v>1</c:v>
                </c:pt>
                <c:pt idx="30">
                  <c:v>0.9</c:v>
                </c:pt>
                <c:pt idx="31">
                  <c:v>0.95</c:v>
                </c:pt>
                <c:pt idx="32">
                  <c:v>0.91</c:v>
                </c:pt>
                <c:pt idx="33">
                  <c:v>0.98</c:v>
                </c:pt>
                <c:pt idx="34">
                  <c:v>0.98</c:v>
                </c:pt>
                <c:pt idx="35">
                  <c:v>0.88</c:v>
                </c:pt>
                <c:pt idx="36">
                  <c:v>0.95</c:v>
                </c:pt>
                <c:pt idx="37">
                  <c:v>1</c:v>
                </c:pt>
                <c:pt idx="38">
                  <c:v>0.96</c:v>
                </c:pt>
                <c:pt idx="39">
                  <c:v>0.94</c:v>
                </c:pt>
                <c:pt idx="40">
                  <c:v>0.88</c:v>
                </c:pt>
                <c:pt idx="41">
                  <c:v>0.95</c:v>
                </c:pt>
                <c:pt idx="42">
                  <c:v>1</c:v>
                </c:pt>
                <c:pt idx="43">
                  <c:v>0.98</c:v>
                </c:pt>
                <c:pt idx="44">
                  <c:v>1</c:v>
                </c:pt>
                <c:pt idx="45">
                  <c:v>0.84</c:v>
                </c:pt>
                <c:pt idx="46">
                  <c:v>0.97</c:v>
                </c:pt>
                <c:pt idx="47">
                  <c:v>0.95</c:v>
                </c:pt>
                <c:pt idx="48">
                  <c:v>0.95</c:v>
                </c:pt>
                <c:pt idx="49">
                  <c:v>0.95</c:v>
                </c:pt>
                <c:pt idx="50">
                  <c:v>1</c:v>
                </c:pt>
                <c:pt idx="51">
                  <c:v>0.94</c:v>
                </c:pt>
                <c:pt idx="52">
                  <c:v>0.98</c:v>
                </c:pt>
                <c:pt idx="53">
                  <c:v>0.96</c:v>
                </c:pt>
                <c:pt idx="54">
                  <c:v>0.97</c:v>
                </c:pt>
                <c:pt idx="55">
                  <c:v>0.94</c:v>
                </c:pt>
                <c:pt idx="56">
                  <c:v>0.99</c:v>
                </c:pt>
                <c:pt idx="57">
                  <c:v>0.94</c:v>
                </c:pt>
                <c:pt idx="58">
                  <c:v>0.96</c:v>
                </c:pt>
                <c:pt idx="59">
                  <c:v>0.99</c:v>
                </c:pt>
                <c:pt idx="60">
                  <c:v>0.97</c:v>
                </c:pt>
                <c:pt idx="61">
                  <c:v>0.99</c:v>
                </c:pt>
                <c:pt idx="62">
                  <c:v>0.98</c:v>
                </c:pt>
                <c:pt idx="63">
                  <c:v>0.98</c:v>
                </c:pt>
                <c:pt idx="64">
                  <c:v>0.94</c:v>
                </c:pt>
                <c:pt idx="65">
                  <c:v>0.89</c:v>
                </c:pt>
                <c:pt idx="66">
                  <c:v>0.97</c:v>
                </c:pt>
                <c:pt idx="67">
                  <c:v>0.95</c:v>
                </c:pt>
                <c:pt idx="68">
                  <c:v>0.98</c:v>
                </c:pt>
                <c:pt idx="69">
                  <c:v>0.95</c:v>
                </c:pt>
                <c:pt idx="70">
                  <c:v>1</c:v>
                </c:pt>
                <c:pt idx="71">
                  <c:v>0.96</c:v>
                </c:pt>
                <c:pt idx="72">
                  <c:v>0.9</c:v>
                </c:pt>
                <c:pt idx="73">
                  <c:v>0.86</c:v>
                </c:pt>
                <c:pt idx="74">
                  <c:v>0.85</c:v>
                </c:pt>
                <c:pt idx="75">
                  <c:v>0.98</c:v>
                </c:pt>
                <c:pt idx="76">
                  <c:v>0.98</c:v>
                </c:pt>
                <c:pt idx="77">
                  <c:v>0.88</c:v>
                </c:pt>
                <c:pt idx="78">
                  <c:v>1</c:v>
                </c:pt>
                <c:pt idx="79">
                  <c:v>0.98</c:v>
                </c:pt>
                <c:pt idx="80">
                  <c:v>0.98</c:v>
                </c:pt>
                <c:pt idx="81">
                  <c:v>0.99</c:v>
                </c:pt>
                <c:pt idx="82">
                  <c:v>0.85</c:v>
                </c:pt>
                <c:pt idx="83">
                  <c:v>0.97</c:v>
                </c:pt>
                <c:pt idx="84">
                  <c:v>1</c:v>
                </c:pt>
                <c:pt idx="85">
                  <c:v>0.95</c:v>
                </c:pt>
                <c:pt idx="86">
                  <c:v>1</c:v>
                </c:pt>
                <c:pt idx="87">
                  <c:v>1</c:v>
                </c:pt>
                <c:pt idx="88">
                  <c:v>0.92</c:v>
                </c:pt>
                <c:pt idx="89">
                  <c:v>0.93</c:v>
                </c:pt>
                <c:pt idx="90">
                  <c:v>0.96</c:v>
                </c:pt>
                <c:pt idx="91">
                  <c:v>0.85</c:v>
                </c:pt>
                <c:pt idx="92">
                  <c:v>0.98</c:v>
                </c:pt>
                <c:pt idx="93">
                  <c:v>0.91</c:v>
                </c:pt>
                <c:pt idx="94">
                  <c:v>1</c:v>
                </c:pt>
                <c:pt idx="95">
                  <c:v>0.99</c:v>
                </c:pt>
                <c:pt idx="96">
                  <c:v>0.88</c:v>
                </c:pt>
                <c:pt idx="97">
                  <c:v>0.94</c:v>
                </c:pt>
                <c:pt idx="98">
                  <c:v>1</c:v>
                </c:pt>
                <c:pt idx="99">
                  <c:v>0.99</c:v>
                </c:pt>
                <c:pt idx="100">
                  <c:v>0.97</c:v>
                </c:pt>
                <c:pt idx="101">
                  <c:v>0.92</c:v>
                </c:pt>
                <c:pt idx="102">
                  <c:v>0.86</c:v>
                </c:pt>
                <c:pt idx="103">
                  <c:v>0.9</c:v>
                </c:pt>
                <c:pt idx="104">
                  <c:v>1</c:v>
                </c:pt>
                <c:pt idx="105">
                  <c:v>0.99</c:v>
                </c:pt>
                <c:pt idx="106">
                  <c:v>0.92</c:v>
                </c:pt>
                <c:pt idx="107">
                  <c:v>0.96</c:v>
                </c:pt>
                <c:pt idx="108">
                  <c:v>0.91</c:v>
                </c:pt>
                <c:pt idx="109">
                  <c:v>0.94</c:v>
                </c:pt>
                <c:pt idx="110">
                  <c:v>0.94</c:v>
                </c:pt>
                <c:pt idx="111">
                  <c:v>0.9</c:v>
                </c:pt>
                <c:pt idx="112">
                  <c:v>0.93</c:v>
                </c:pt>
                <c:pt idx="113">
                  <c:v>0.92</c:v>
                </c:pt>
                <c:pt idx="114">
                  <c:v>0.98</c:v>
                </c:pt>
                <c:pt idx="115">
                  <c:v>0.94</c:v>
                </c:pt>
                <c:pt idx="116">
                  <c:v>0.98</c:v>
                </c:pt>
                <c:pt idx="117">
                  <c:v>0.94</c:v>
                </c:pt>
                <c:pt idx="118">
                  <c:v>0.91</c:v>
                </c:pt>
                <c:pt idx="119">
                  <c:v>0.9</c:v>
                </c:pt>
                <c:pt idx="120">
                  <c:v>1</c:v>
                </c:pt>
                <c:pt idx="121">
                  <c:v>0.94</c:v>
                </c:pt>
                <c:pt idx="122">
                  <c:v>1</c:v>
                </c:pt>
                <c:pt idx="123">
                  <c:v>0.86</c:v>
                </c:pt>
                <c:pt idx="124">
                  <c:v>1</c:v>
                </c:pt>
                <c:pt idx="125">
                  <c:v>0.96</c:v>
                </c:pt>
                <c:pt idx="126">
                  <c:v>0.98</c:v>
                </c:pt>
                <c:pt idx="127">
                  <c:v>0.86</c:v>
                </c:pt>
                <c:pt idx="128">
                  <c:v>0.95</c:v>
                </c:pt>
              </c:numCache>
            </c:numRef>
          </c:val>
          <c:extLst>
            <c:ext xmlns:c16="http://schemas.microsoft.com/office/drawing/2014/chart" uri="{C3380CC4-5D6E-409C-BE32-E72D297353CC}">
              <c16:uniqueId val="{00000000-7366-4614-B9EE-F8F8A035A00E}"/>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'Dashboard-RCRD'!$C$10</c:f>
              <c:strCache>
                <c:ptCount val="1"/>
                <c:pt idx="0">
                  <c:v>Airedale NHS Foundation Trust</c:v>
                </c:pt>
              </c:strCache>
            </c:strRef>
          </c:tx>
          <c:spPr>
            <a:ln w="28575" cap="rnd">
              <a:solidFill>
                <a:srgbClr val="EA5284"/>
              </a:solidFill>
              <a:round/>
            </a:ln>
            <a:effectLst/>
          </c:spPr>
          <c:marker>
            <c:symbol val="none"/>
          </c:marker>
          <c:dPt>
            <c:idx val="75"/>
            <c:marker>
              <c:symbol val="none"/>
            </c:marker>
            <c:bubble3D val="0"/>
            <c:spPr>
              <a:ln w="28575" cap="rnd">
                <a:solidFill>
                  <a:srgbClr val="EA5284"/>
                </a:solidFill>
                <a:round/>
              </a:ln>
              <a:effectLst/>
            </c:spPr>
            <c:extLst>
              <c:ext xmlns:c16="http://schemas.microsoft.com/office/drawing/2014/chart" uri="{C3380CC4-5D6E-409C-BE32-E72D297353CC}">
                <c16:uniqueId val="{00000001-CE3B-49F6-8BB5-626826FAA932}"/>
              </c:ext>
            </c:extLst>
          </c:dPt>
          <c:xVal>
            <c:numRef>
              <c:f>Links!$C$30:$C$31</c:f>
              <c:numCache>
                <c:formatCode>0</c:formatCode>
                <c:ptCount val="2"/>
                <c:pt idx="0">
                  <c:v>27</c:v>
                </c:pt>
                <c:pt idx="1">
                  <c:v>27</c:v>
                </c:pt>
              </c:numCache>
            </c:numRef>
          </c:xVal>
          <c:yVal>
            <c:numRef>
              <c:f>Links!$D$30:$D$31</c:f>
              <c:numCache>
                <c:formatCode>General</c:formatCode>
                <c:ptCount val="2"/>
                <c:pt idx="0" formatCode="0.00">
                  <c:v>0.98</c:v>
                </c:pt>
                <c:pt idx="1">
                  <c:v>0</c:v>
                </c:pt>
              </c:numCache>
            </c:numRef>
          </c:yVal>
          <c:smooth val="0"/>
          <c:extLst>
            <c:ext xmlns:c16="http://schemas.microsoft.com/office/drawing/2014/chart" uri="{C3380CC4-5D6E-409C-BE32-E72D297353CC}">
              <c16:uniqueId val="{00000003-7366-4614-B9EE-F8F8A035A00E}"/>
            </c:ext>
          </c:extLst>
        </c:ser>
        <c:ser>
          <c:idx val="1"/>
          <c:order val="2"/>
          <c:tx>
            <c:v>Target</c:v>
          </c:tx>
          <c:spPr>
            <a:ln w="28575" cap="rnd">
              <a:solidFill>
                <a:schemeClr val="tx1"/>
              </a:solidFill>
              <a:prstDash val="sysDash"/>
              <a:round/>
            </a:ln>
            <a:effectLst/>
          </c:spPr>
          <c:marker>
            <c:symbol val="none"/>
          </c:marker>
          <c:xVal>
            <c:numRef>
              <c:f>Links!$E$30:$E$31</c:f>
              <c:numCache>
                <c:formatCode>General</c:formatCode>
                <c:ptCount val="2"/>
                <c:pt idx="0">
                  <c:v>0</c:v>
                </c:pt>
                <c:pt idx="1">
                  <c:v>129</c:v>
                </c:pt>
              </c:numCache>
            </c:numRef>
          </c:xVal>
          <c:yVal>
            <c:numRef>
              <c:f>Links!$F$30:$F$31</c:f>
              <c:numCache>
                <c:formatCode>General</c:formatCode>
                <c:ptCount val="2"/>
                <c:pt idx="0">
                  <c:v>0.9</c:v>
                </c:pt>
                <c:pt idx="1">
                  <c:v>0.9</c:v>
                </c:pt>
              </c:numCache>
            </c:numRef>
          </c:yVal>
          <c:smooth val="0"/>
          <c:extLst>
            <c:ext xmlns:c16="http://schemas.microsoft.com/office/drawing/2014/chart" uri="{C3380CC4-5D6E-409C-BE32-E72D297353CC}">
              <c16:uniqueId val="{00000004-7366-4614-B9EE-F8F8A035A00E}"/>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NHS trust 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Links!$B$22</c:f>
              <c:strCache>
                <c:ptCount val="1"/>
                <c:pt idx="0">
                  <c:v>Data completeness for ethnicity</c:v>
                </c:pt>
              </c:strCache>
            </c:strRef>
          </c:tx>
          <c:layout>
            <c:manualLayout>
              <c:xMode val="edge"/>
              <c:yMode val="edge"/>
              <c:x val="1.6863981854147867E-2"/>
              <c:y val="0.2800166191735193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10.jpeg"/><Relationship Id="rId2"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png"/><Relationship Id="rId7" Type="http://schemas.openxmlformats.org/officeDocument/2006/relationships/image" Target="../media/image6.sv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sv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2.png"/><Relationship Id="rId7" Type="http://schemas.openxmlformats.org/officeDocument/2006/relationships/image" Target="../media/image6.svg"/><Relationship Id="rId2" Type="http://schemas.openxmlformats.org/officeDocument/2006/relationships/image" Target="../media/image1.png"/><Relationship Id="rId1" Type="http://schemas.openxmlformats.org/officeDocument/2006/relationships/chart" Target="../charts/chart2.xml"/><Relationship Id="rId6" Type="http://schemas.openxmlformats.org/officeDocument/2006/relationships/image" Target="../media/image5.png"/><Relationship Id="rId5" Type="http://schemas.openxmlformats.org/officeDocument/2006/relationships/image" Target="../media/image4.sv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1</xdr:col>
      <xdr:colOff>19051</xdr:colOff>
      <xdr:row>1</xdr:row>
      <xdr:rowOff>6350</xdr:rowOff>
    </xdr:from>
    <xdr:to>
      <xdr:col>4</xdr:col>
      <xdr:colOff>140783</xdr:colOff>
      <xdr:row>6</xdr:row>
      <xdr:rowOff>0</xdr:rowOff>
    </xdr:to>
    <xdr:grpSp>
      <xdr:nvGrpSpPr>
        <xdr:cNvPr id="26" name="Group 25">
          <a:extLst>
            <a:ext uri="{FF2B5EF4-FFF2-40B4-BE49-F238E27FC236}">
              <a16:creationId xmlns:a16="http://schemas.microsoft.com/office/drawing/2014/main" id="{B5B5F9B0-AFA7-1D0E-8190-0F7B85AAC4E3}"/>
            </a:ext>
          </a:extLst>
        </xdr:cNvPr>
        <xdr:cNvGrpSpPr/>
      </xdr:nvGrpSpPr>
      <xdr:grpSpPr>
        <a:xfrm>
          <a:off x="241301" y="188913"/>
          <a:ext cx="8979982" cy="906462"/>
          <a:chOff x="542926" y="196850"/>
          <a:chExt cx="8598982" cy="946150"/>
        </a:xfrm>
      </xdr:grpSpPr>
      <xdr:grpSp>
        <xdr:nvGrpSpPr>
          <xdr:cNvPr id="23" name="Group 22">
            <a:extLst>
              <a:ext uri="{FF2B5EF4-FFF2-40B4-BE49-F238E27FC236}">
                <a16:creationId xmlns:a16="http://schemas.microsoft.com/office/drawing/2014/main" id="{870EB7AA-A21B-FF16-B8B4-B68CF6CB2104}"/>
              </a:ext>
            </a:extLst>
          </xdr:cNvPr>
          <xdr:cNvGrpSpPr/>
        </xdr:nvGrpSpPr>
        <xdr:grpSpPr>
          <a:xfrm>
            <a:off x="3105150" y="196850"/>
            <a:ext cx="6036758" cy="946150"/>
            <a:chOff x="3105150" y="196850"/>
            <a:chExt cx="6036758" cy="946150"/>
          </a:xfrm>
        </xdr:grpSpPr>
        <xdr:grpSp>
          <xdr:nvGrpSpPr>
            <xdr:cNvPr id="9" name="Group 8">
              <a:extLst>
                <a:ext uri="{FF2B5EF4-FFF2-40B4-BE49-F238E27FC236}">
                  <a16:creationId xmlns:a16="http://schemas.microsoft.com/office/drawing/2014/main" id="{00000000-0008-0000-0000-000009000000}"/>
                </a:ext>
              </a:extLst>
            </xdr:cNvPr>
            <xdr:cNvGrpSpPr/>
          </xdr:nvGrpSpPr>
          <xdr:grpSpPr>
            <a:xfrm>
              <a:off x="3267076" y="196850"/>
              <a:ext cx="5874832" cy="946150"/>
              <a:chOff x="3373754" y="190500"/>
              <a:chExt cx="6111054" cy="914400"/>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373754" y="196850"/>
                <a:ext cx="3329085"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NHLaudit@rcseng.ac.uk</a:t>
                </a:r>
                <a:endParaRPr lang="en-GB">
                  <a:effectLst/>
                </a:endParaRPr>
              </a:p>
              <a:p>
                <a:r>
                  <a:rPr lang="en-GB" sz="1100" baseline="0">
                    <a:solidFill>
                      <a:schemeClr val="tx1"/>
                    </a:solidFill>
                  </a:rPr>
                  <a:t>www.natcan.org.uk/audits/non-hodgkin-lymphoma/</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@NNHLA_natcan</a:t>
                </a:r>
                <a:endParaRPr lang="en-GB" sz="1100">
                  <a:solidFill>
                    <a:srgbClr val="7030A0"/>
                  </a:solidFill>
                </a:endParaRPr>
              </a:p>
              <a:p>
                <a:endParaRPr lang="en-GB" sz="1100">
                  <a:solidFill>
                    <a:srgbClr val="7030A0"/>
                  </a:solidFill>
                </a:endParaRPr>
              </a:p>
            </xdr:txBody>
          </xdr:sp>
        </xdr:grpSp>
        <xdr:grpSp>
          <xdr:nvGrpSpPr>
            <xdr:cNvPr id="22" name="Group 21">
              <a:extLst>
                <a:ext uri="{FF2B5EF4-FFF2-40B4-BE49-F238E27FC236}">
                  <a16:creationId xmlns:a16="http://schemas.microsoft.com/office/drawing/2014/main" id="{24A73833-E388-7D07-C413-9B4860414119}"/>
                </a:ext>
              </a:extLst>
            </xdr:cNvPr>
            <xdr:cNvGrpSpPr/>
          </xdr:nvGrpSpPr>
          <xdr:grpSpPr>
            <a:xfrm>
              <a:off x="3105150" y="400050"/>
              <a:ext cx="190500" cy="552639"/>
              <a:chOff x="2876550" y="400050"/>
              <a:chExt cx="190500" cy="552639"/>
            </a:xfrm>
          </xdr:grpSpPr>
          <xdr:pic>
            <xdr:nvPicPr>
              <xdr:cNvPr id="13" name="Picture 12">
                <a:extLst>
                  <a:ext uri="{FF2B5EF4-FFF2-40B4-BE49-F238E27FC236}">
                    <a16:creationId xmlns:a16="http://schemas.microsoft.com/office/drawing/2014/main" id="{DF3F1BDD-2BF9-94CF-8AB2-22DB167225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5600" y="796924"/>
                <a:ext cx="152399" cy="155765"/>
              </a:xfrm>
              <a:prstGeom prst="rect">
                <a:avLst/>
              </a:prstGeom>
            </xdr:spPr>
          </xdr:pic>
          <xdr:pic>
            <xdr:nvPicPr>
              <xdr:cNvPr id="19" name="Graphic 18" descr="Envelope with solid fill">
                <a:extLst>
                  <a:ext uri="{FF2B5EF4-FFF2-40B4-BE49-F238E27FC236}">
                    <a16:creationId xmlns:a16="http://schemas.microsoft.com/office/drawing/2014/main" id="{AF6B94FD-0268-B046-597E-3DE8484DAB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2876550" y="400050"/>
                <a:ext cx="190500" cy="190500"/>
              </a:xfrm>
              <a:prstGeom prst="rect">
                <a:avLst/>
              </a:prstGeom>
            </xdr:spPr>
          </xdr:pic>
          <xdr:pic>
            <xdr:nvPicPr>
              <xdr:cNvPr id="21" name="Graphic 20" descr="World with solid fill">
                <a:extLst>
                  <a:ext uri="{FF2B5EF4-FFF2-40B4-BE49-F238E27FC236}">
                    <a16:creationId xmlns:a16="http://schemas.microsoft.com/office/drawing/2014/main" id="{89E3E717-E19B-BBCE-DB72-AA55892B188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95600" y="609600"/>
                <a:ext cx="161924" cy="161924"/>
              </a:xfrm>
              <a:prstGeom prst="rect">
                <a:avLst/>
              </a:prstGeom>
            </xdr:spPr>
          </xdr:pic>
        </xdr:grpSp>
      </xdr:grpSp>
      <xdr:pic>
        <xdr:nvPicPr>
          <xdr:cNvPr id="25" name="Picture 24">
            <a:extLst>
              <a:ext uri="{FF2B5EF4-FFF2-40B4-BE49-F238E27FC236}">
                <a16:creationId xmlns:a16="http://schemas.microsoft.com/office/drawing/2014/main" id="{FED1EECD-60AF-9D85-C9D0-4C36061E86F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2926" y="200025"/>
            <a:ext cx="2444400" cy="90186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9525</xdr:rowOff>
    </xdr:from>
    <xdr:to>
      <xdr:col>4</xdr:col>
      <xdr:colOff>140782</xdr:colOff>
      <xdr:row>6</xdr:row>
      <xdr:rowOff>3175</xdr:rowOff>
    </xdr:to>
    <xdr:grpSp>
      <xdr:nvGrpSpPr>
        <xdr:cNvPr id="16" name="Group 15">
          <a:extLst>
            <a:ext uri="{FF2B5EF4-FFF2-40B4-BE49-F238E27FC236}">
              <a16:creationId xmlns:a16="http://schemas.microsoft.com/office/drawing/2014/main" id="{5B97B561-E1DB-479E-8054-6C5FECB4160A}"/>
            </a:ext>
          </a:extLst>
        </xdr:cNvPr>
        <xdr:cNvGrpSpPr/>
      </xdr:nvGrpSpPr>
      <xdr:grpSpPr>
        <a:xfrm>
          <a:off x="241300" y="192088"/>
          <a:ext cx="8948232" cy="906462"/>
          <a:chOff x="542926" y="196850"/>
          <a:chExt cx="8598982" cy="946150"/>
        </a:xfrm>
      </xdr:grpSpPr>
      <xdr:grpSp>
        <xdr:nvGrpSpPr>
          <xdr:cNvPr id="17" name="Group 16">
            <a:extLst>
              <a:ext uri="{FF2B5EF4-FFF2-40B4-BE49-F238E27FC236}">
                <a16:creationId xmlns:a16="http://schemas.microsoft.com/office/drawing/2014/main" id="{0496E616-B792-94EA-EB34-031E0595665C}"/>
              </a:ext>
            </a:extLst>
          </xdr:cNvPr>
          <xdr:cNvGrpSpPr/>
        </xdr:nvGrpSpPr>
        <xdr:grpSpPr>
          <a:xfrm>
            <a:off x="3105150" y="196850"/>
            <a:ext cx="6036758" cy="946150"/>
            <a:chOff x="3105150" y="196850"/>
            <a:chExt cx="6036758" cy="946150"/>
          </a:xfrm>
        </xdr:grpSpPr>
        <xdr:grpSp>
          <xdr:nvGrpSpPr>
            <xdr:cNvPr id="19" name="Group 18">
              <a:extLst>
                <a:ext uri="{FF2B5EF4-FFF2-40B4-BE49-F238E27FC236}">
                  <a16:creationId xmlns:a16="http://schemas.microsoft.com/office/drawing/2014/main" id="{853AF6E4-EA6A-3CC7-C864-B1260E9F84AB}"/>
                </a:ext>
              </a:extLst>
            </xdr:cNvPr>
            <xdr:cNvGrpSpPr/>
          </xdr:nvGrpSpPr>
          <xdr:grpSpPr>
            <a:xfrm>
              <a:off x="3267076" y="196850"/>
              <a:ext cx="5874832" cy="946150"/>
              <a:chOff x="3373754" y="190500"/>
              <a:chExt cx="6111054" cy="914400"/>
            </a:xfrm>
          </xdr:grpSpPr>
          <xdr:pic>
            <xdr:nvPicPr>
              <xdr:cNvPr id="24" name="Picture 23">
                <a:extLst>
                  <a:ext uri="{FF2B5EF4-FFF2-40B4-BE49-F238E27FC236}">
                    <a16:creationId xmlns:a16="http://schemas.microsoft.com/office/drawing/2014/main" id="{B31DF683-2F47-A3B7-3186-8C1D960B30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sp macro="" textlink="">
            <xdr:nvSpPr>
              <xdr:cNvPr id="25" name="TextBox 24">
                <a:extLst>
                  <a:ext uri="{FF2B5EF4-FFF2-40B4-BE49-F238E27FC236}">
                    <a16:creationId xmlns:a16="http://schemas.microsoft.com/office/drawing/2014/main" id="{1E62954E-1805-D0AD-1453-725B7299DDA8}"/>
                  </a:ext>
                </a:extLst>
              </xdr:cNvPr>
              <xdr:cNvSpPr txBox="1"/>
            </xdr:nvSpPr>
            <xdr:spPr>
              <a:xfrm>
                <a:off x="3373754" y="196850"/>
                <a:ext cx="3329085"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NHLaudit@rcseng.ac.uk</a:t>
                </a:r>
                <a:endParaRPr lang="en-GB">
                  <a:effectLst/>
                </a:endParaRPr>
              </a:p>
              <a:p>
                <a:r>
                  <a:rPr lang="en-GB" sz="1100" baseline="0">
                    <a:solidFill>
                      <a:schemeClr val="tx1"/>
                    </a:solidFill>
                  </a:rPr>
                  <a:t>www.natcan.org.uk/audits/non-hodgkin-lymphoma/</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@NNHLA_natcan</a:t>
                </a:r>
                <a:endParaRPr lang="en-GB" sz="1100">
                  <a:solidFill>
                    <a:srgbClr val="7030A0"/>
                  </a:solidFill>
                </a:endParaRPr>
              </a:p>
              <a:p>
                <a:endParaRPr lang="en-GB" sz="1100">
                  <a:solidFill>
                    <a:srgbClr val="7030A0"/>
                  </a:solidFill>
                </a:endParaRPr>
              </a:p>
            </xdr:txBody>
          </xdr:sp>
        </xdr:grpSp>
        <xdr:grpSp>
          <xdr:nvGrpSpPr>
            <xdr:cNvPr id="20" name="Group 19">
              <a:extLst>
                <a:ext uri="{FF2B5EF4-FFF2-40B4-BE49-F238E27FC236}">
                  <a16:creationId xmlns:a16="http://schemas.microsoft.com/office/drawing/2014/main" id="{F138AD9B-53E1-DD4D-2988-A8AFE0823C5B}"/>
                </a:ext>
              </a:extLst>
            </xdr:cNvPr>
            <xdr:cNvGrpSpPr/>
          </xdr:nvGrpSpPr>
          <xdr:grpSpPr>
            <a:xfrm>
              <a:off x="3105150" y="400050"/>
              <a:ext cx="190500" cy="552639"/>
              <a:chOff x="2876550" y="400050"/>
              <a:chExt cx="190500" cy="552639"/>
            </a:xfrm>
          </xdr:grpSpPr>
          <xdr:pic>
            <xdr:nvPicPr>
              <xdr:cNvPr id="21" name="Picture 20">
                <a:extLst>
                  <a:ext uri="{FF2B5EF4-FFF2-40B4-BE49-F238E27FC236}">
                    <a16:creationId xmlns:a16="http://schemas.microsoft.com/office/drawing/2014/main" id="{560C7452-1D47-7616-4D58-0E4374A7E3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5600" y="796924"/>
                <a:ext cx="152399" cy="155765"/>
              </a:xfrm>
              <a:prstGeom prst="rect">
                <a:avLst/>
              </a:prstGeom>
            </xdr:spPr>
          </xdr:pic>
          <xdr:pic>
            <xdr:nvPicPr>
              <xdr:cNvPr id="22" name="Graphic 21" descr="Envelope with solid fill">
                <a:extLst>
                  <a:ext uri="{FF2B5EF4-FFF2-40B4-BE49-F238E27FC236}">
                    <a16:creationId xmlns:a16="http://schemas.microsoft.com/office/drawing/2014/main" id="{D0ACF6E0-66E6-2943-263B-14CA34B1A9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2876550" y="400050"/>
                <a:ext cx="190500" cy="190500"/>
              </a:xfrm>
              <a:prstGeom prst="rect">
                <a:avLst/>
              </a:prstGeom>
            </xdr:spPr>
          </xdr:pic>
          <xdr:pic>
            <xdr:nvPicPr>
              <xdr:cNvPr id="23" name="Graphic 22" descr="World with solid fill">
                <a:extLst>
                  <a:ext uri="{FF2B5EF4-FFF2-40B4-BE49-F238E27FC236}">
                    <a16:creationId xmlns:a16="http://schemas.microsoft.com/office/drawing/2014/main" id="{7BBB527D-2BB6-8885-BD36-7D38F73B9FF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95600" y="609600"/>
                <a:ext cx="161924" cy="161924"/>
              </a:xfrm>
              <a:prstGeom prst="rect">
                <a:avLst/>
              </a:prstGeom>
            </xdr:spPr>
          </xdr:pic>
        </xdr:grpSp>
      </xdr:grpSp>
      <xdr:pic>
        <xdr:nvPicPr>
          <xdr:cNvPr id="18" name="Picture 17">
            <a:extLst>
              <a:ext uri="{FF2B5EF4-FFF2-40B4-BE49-F238E27FC236}">
                <a16:creationId xmlns:a16="http://schemas.microsoft.com/office/drawing/2014/main" id="{33148DDC-971F-5401-E7EF-ADAB3D74D1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2926" y="200025"/>
            <a:ext cx="2444400" cy="90186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xdr:row>
      <xdr:rowOff>19050</xdr:rowOff>
    </xdr:from>
    <xdr:to>
      <xdr:col>4</xdr:col>
      <xdr:colOff>540832</xdr:colOff>
      <xdr:row>6</xdr:row>
      <xdr:rowOff>0</xdr:rowOff>
    </xdr:to>
    <xdr:grpSp>
      <xdr:nvGrpSpPr>
        <xdr:cNvPr id="15" name="Group 14">
          <a:extLst>
            <a:ext uri="{FF2B5EF4-FFF2-40B4-BE49-F238E27FC236}">
              <a16:creationId xmlns:a16="http://schemas.microsoft.com/office/drawing/2014/main" id="{2517EF44-4CB1-4372-AE2D-0794D3481A94}"/>
            </a:ext>
          </a:extLst>
        </xdr:cNvPr>
        <xdr:cNvGrpSpPr/>
      </xdr:nvGrpSpPr>
      <xdr:grpSpPr>
        <a:xfrm>
          <a:off x="241300" y="201613"/>
          <a:ext cx="9292720" cy="893762"/>
          <a:chOff x="542926" y="196850"/>
          <a:chExt cx="8598982" cy="946150"/>
        </a:xfrm>
      </xdr:grpSpPr>
      <xdr:grpSp>
        <xdr:nvGrpSpPr>
          <xdr:cNvPr id="16" name="Group 15">
            <a:extLst>
              <a:ext uri="{FF2B5EF4-FFF2-40B4-BE49-F238E27FC236}">
                <a16:creationId xmlns:a16="http://schemas.microsoft.com/office/drawing/2014/main" id="{B196D663-AB56-5592-5BA2-469B4F8A266B}"/>
              </a:ext>
            </a:extLst>
          </xdr:cNvPr>
          <xdr:cNvGrpSpPr/>
        </xdr:nvGrpSpPr>
        <xdr:grpSpPr>
          <a:xfrm>
            <a:off x="3105150" y="196850"/>
            <a:ext cx="6036758" cy="946150"/>
            <a:chOff x="3105150" y="196850"/>
            <a:chExt cx="6036758" cy="946150"/>
          </a:xfrm>
        </xdr:grpSpPr>
        <xdr:grpSp>
          <xdr:nvGrpSpPr>
            <xdr:cNvPr id="18" name="Group 17">
              <a:extLst>
                <a:ext uri="{FF2B5EF4-FFF2-40B4-BE49-F238E27FC236}">
                  <a16:creationId xmlns:a16="http://schemas.microsoft.com/office/drawing/2014/main" id="{B271CFA5-16E5-9226-44C6-7DEE23661FD2}"/>
                </a:ext>
              </a:extLst>
            </xdr:cNvPr>
            <xdr:cNvGrpSpPr/>
          </xdr:nvGrpSpPr>
          <xdr:grpSpPr>
            <a:xfrm>
              <a:off x="3267076" y="196850"/>
              <a:ext cx="5874832" cy="946150"/>
              <a:chOff x="3373754" y="190500"/>
              <a:chExt cx="6111054" cy="914400"/>
            </a:xfrm>
          </xdr:grpSpPr>
          <xdr:pic>
            <xdr:nvPicPr>
              <xdr:cNvPr id="23" name="Picture 22">
                <a:extLst>
                  <a:ext uri="{FF2B5EF4-FFF2-40B4-BE49-F238E27FC236}">
                    <a16:creationId xmlns:a16="http://schemas.microsoft.com/office/drawing/2014/main" id="{E9F4DE28-9D63-B1AE-E5FD-23CE17C1B0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sp macro="" textlink="">
            <xdr:nvSpPr>
              <xdr:cNvPr id="24" name="TextBox 23">
                <a:extLst>
                  <a:ext uri="{FF2B5EF4-FFF2-40B4-BE49-F238E27FC236}">
                    <a16:creationId xmlns:a16="http://schemas.microsoft.com/office/drawing/2014/main" id="{1162A2E1-2256-A8F5-9430-ACD9BD563632}"/>
                  </a:ext>
                </a:extLst>
              </xdr:cNvPr>
              <xdr:cNvSpPr txBox="1"/>
            </xdr:nvSpPr>
            <xdr:spPr>
              <a:xfrm>
                <a:off x="3373754" y="196850"/>
                <a:ext cx="3329085"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NHLaudit@rcseng.ac.uk</a:t>
                </a:r>
                <a:endParaRPr lang="en-GB">
                  <a:effectLst/>
                </a:endParaRPr>
              </a:p>
              <a:p>
                <a:r>
                  <a:rPr lang="en-GB" sz="1100" baseline="0">
                    <a:solidFill>
                      <a:schemeClr val="tx1"/>
                    </a:solidFill>
                  </a:rPr>
                  <a:t>www.natcan.org.uk/audits/non-hodgkin-lymphoma/</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@NNHLA_natcan</a:t>
                </a:r>
                <a:endParaRPr lang="en-GB" sz="1100">
                  <a:solidFill>
                    <a:srgbClr val="7030A0"/>
                  </a:solidFill>
                </a:endParaRPr>
              </a:p>
              <a:p>
                <a:endParaRPr lang="en-GB" sz="1100">
                  <a:solidFill>
                    <a:srgbClr val="7030A0"/>
                  </a:solidFill>
                </a:endParaRPr>
              </a:p>
            </xdr:txBody>
          </xdr:sp>
        </xdr:grpSp>
        <xdr:grpSp>
          <xdr:nvGrpSpPr>
            <xdr:cNvPr id="19" name="Group 18">
              <a:extLst>
                <a:ext uri="{FF2B5EF4-FFF2-40B4-BE49-F238E27FC236}">
                  <a16:creationId xmlns:a16="http://schemas.microsoft.com/office/drawing/2014/main" id="{BEA5B197-B163-FE80-DDFB-4458BA3F3160}"/>
                </a:ext>
              </a:extLst>
            </xdr:cNvPr>
            <xdr:cNvGrpSpPr/>
          </xdr:nvGrpSpPr>
          <xdr:grpSpPr>
            <a:xfrm>
              <a:off x="3105150" y="400050"/>
              <a:ext cx="190500" cy="552639"/>
              <a:chOff x="2876550" y="400050"/>
              <a:chExt cx="190500" cy="552639"/>
            </a:xfrm>
          </xdr:grpSpPr>
          <xdr:pic>
            <xdr:nvPicPr>
              <xdr:cNvPr id="20" name="Picture 19">
                <a:extLst>
                  <a:ext uri="{FF2B5EF4-FFF2-40B4-BE49-F238E27FC236}">
                    <a16:creationId xmlns:a16="http://schemas.microsoft.com/office/drawing/2014/main" id="{7F5E1FB8-D8E2-B031-B1AF-65260C32D0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5600" y="796924"/>
                <a:ext cx="152399" cy="155765"/>
              </a:xfrm>
              <a:prstGeom prst="rect">
                <a:avLst/>
              </a:prstGeom>
            </xdr:spPr>
          </xdr:pic>
          <xdr:pic>
            <xdr:nvPicPr>
              <xdr:cNvPr id="21" name="Graphic 20" descr="Envelope with solid fill">
                <a:extLst>
                  <a:ext uri="{FF2B5EF4-FFF2-40B4-BE49-F238E27FC236}">
                    <a16:creationId xmlns:a16="http://schemas.microsoft.com/office/drawing/2014/main" id="{BD492FB7-CF8F-172A-8E1F-D88B570BAF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2876550" y="400050"/>
                <a:ext cx="190500" cy="190500"/>
              </a:xfrm>
              <a:prstGeom prst="rect">
                <a:avLst/>
              </a:prstGeom>
            </xdr:spPr>
          </xdr:pic>
          <xdr:pic>
            <xdr:nvPicPr>
              <xdr:cNvPr id="22" name="Graphic 21" descr="World with solid fill">
                <a:extLst>
                  <a:ext uri="{FF2B5EF4-FFF2-40B4-BE49-F238E27FC236}">
                    <a16:creationId xmlns:a16="http://schemas.microsoft.com/office/drawing/2014/main" id="{8D95ED3E-58A5-89E4-5DD2-D7418BDA2C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95600" y="609600"/>
                <a:ext cx="161924" cy="161924"/>
              </a:xfrm>
              <a:prstGeom prst="rect">
                <a:avLst/>
              </a:prstGeom>
            </xdr:spPr>
          </xdr:pic>
        </xdr:grpSp>
      </xdr:grpSp>
      <xdr:pic>
        <xdr:nvPicPr>
          <xdr:cNvPr id="17" name="Picture 16">
            <a:extLst>
              <a:ext uri="{FF2B5EF4-FFF2-40B4-BE49-F238E27FC236}">
                <a16:creationId xmlns:a16="http://schemas.microsoft.com/office/drawing/2014/main" id="{CB9269CA-1E45-2C98-281C-23B2B362908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2926" y="200025"/>
            <a:ext cx="2444400" cy="901866"/>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xdr:row>
      <xdr:rowOff>19050</xdr:rowOff>
    </xdr:from>
    <xdr:to>
      <xdr:col>9</xdr:col>
      <xdr:colOff>417006</xdr:colOff>
      <xdr:row>6</xdr:row>
      <xdr:rowOff>3175</xdr:rowOff>
    </xdr:to>
    <xdr:grpSp>
      <xdr:nvGrpSpPr>
        <xdr:cNvPr id="2" name="Group 1">
          <a:extLst>
            <a:ext uri="{FF2B5EF4-FFF2-40B4-BE49-F238E27FC236}">
              <a16:creationId xmlns:a16="http://schemas.microsoft.com/office/drawing/2014/main" id="{0EA0644B-7017-4DB9-A997-4F520AC780AF}"/>
            </a:ext>
          </a:extLst>
        </xdr:cNvPr>
        <xdr:cNvGrpSpPr/>
      </xdr:nvGrpSpPr>
      <xdr:grpSpPr>
        <a:xfrm>
          <a:off x="241300" y="201613"/>
          <a:ext cx="9454644" cy="912812"/>
          <a:chOff x="542926" y="196850"/>
          <a:chExt cx="8598982" cy="946150"/>
        </a:xfrm>
      </xdr:grpSpPr>
      <xdr:grpSp>
        <xdr:nvGrpSpPr>
          <xdr:cNvPr id="4" name="Group 3">
            <a:extLst>
              <a:ext uri="{FF2B5EF4-FFF2-40B4-BE49-F238E27FC236}">
                <a16:creationId xmlns:a16="http://schemas.microsoft.com/office/drawing/2014/main" id="{B5717EA0-F4B8-1163-4A0A-8D6C61272474}"/>
              </a:ext>
            </a:extLst>
          </xdr:cNvPr>
          <xdr:cNvGrpSpPr/>
        </xdr:nvGrpSpPr>
        <xdr:grpSpPr>
          <a:xfrm>
            <a:off x="3105150" y="196850"/>
            <a:ext cx="6036758" cy="946150"/>
            <a:chOff x="3105150" y="196850"/>
            <a:chExt cx="6036758" cy="946150"/>
          </a:xfrm>
        </xdr:grpSpPr>
        <xdr:grpSp>
          <xdr:nvGrpSpPr>
            <xdr:cNvPr id="9" name="Group 8">
              <a:extLst>
                <a:ext uri="{FF2B5EF4-FFF2-40B4-BE49-F238E27FC236}">
                  <a16:creationId xmlns:a16="http://schemas.microsoft.com/office/drawing/2014/main" id="{DF8964D0-BBEE-580E-5BFF-1CF528167515}"/>
                </a:ext>
              </a:extLst>
            </xdr:cNvPr>
            <xdr:cNvGrpSpPr/>
          </xdr:nvGrpSpPr>
          <xdr:grpSpPr>
            <a:xfrm>
              <a:off x="3267076" y="196850"/>
              <a:ext cx="5874832" cy="946150"/>
              <a:chOff x="3373754" y="190500"/>
              <a:chExt cx="6111054" cy="914400"/>
            </a:xfrm>
          </xdr:grpSpPr>
          <xdr:pic>
            <xdr:nvPicPr>
              <xdr:cNvPr id="15" name="Picture 14">
                <a:extLst>
                  <a:ext uri="{FF2B5EF4-FFF2-40B4-BE49-F238E27FC236}">
                    <a16:creationId xmlns:a16="http://schemas.microsoft.com/office/drawing/2014/main" id="{1EC3CF7E-A56C-ABA1-57DA-EE1D0D7205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sp macro="" textlink="">
            <xdr:nvSpPr>
              <xdr:cNvPr id="16" name="TextBox 15">
                <a:extLst>
                  <a:ext uri="{FF2B5EF4-FFF2-40B4-BE49-F238E27FC236}">
                    <a16:creationId xmlns:a16="http://schemas.microsoft.com/office/drawing/2014/main" id="{7A4B3E05-98BC-991E-F79C-14234F36905B}"/>
                  </a:ext>
                </a:extLst>
              </xdr:cNvPr>
              <xdr:cNvSpPr txBox="1"/>
            </xdr:nvSpPr>
            <xdr:spPr>
              <a:xfrm>
                <a:off x="3373754" y="196850"/>
                <a:ext cx="3329085"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NHLaudit@rcseng.ac.uk</a:t>
                </a:r>
                <a:endParaRPr lang="en-GB">
                  <a:effectLst/>
                </a:endParaRPr>
              </a:p>
              <a:p>
                <a:r>
                  <a:rPr lang="en-GB" sz="1100" baseline="0">
                    <a:solidFill>
                      <a:schemeClr val="tx1"/>
                    </a:solidFill>
                  </a:rPr>
                  <a:t>www.natcan.org.uk/audits/non-hodgkin-lymphoma/</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@NNHLA_natcan</a:t>
                </a:r>
                <a:endParaRPr lang="en-GB" sz="1100">
                  <a:solidFill>
                    <a:srgbClr val="7030A0"/>
                  </a:solidFill>
                </a:endParaRPr>
              </a:p>
              <a:p>
                <a:endParaRPr lang="en-GB" sz="1100">
                  <a:solidFill>
                    <a:srgbClr val="7030A0"/>
                  </a:solidFill>
                </a:endParaRPr>
              </a:p>
            </xdr:txBody>
          </xdr:sp>
        </xdr:grpSp>
        <xdr:grpSp>
          <xdr:nvGrpSpPr>
            <xdr:cNvPr id="11" name="Group 10">
              <a:extLst>
                <a:ext uri="{FF2B5EF4-FFF2-40B4-BE49-F238E27FC236}">
                  <a16:creationId xmlns:a16="http://schemas.microsoft.com/office/drawing/2014/main" id="{6E05CF83-9922-E2E2-0E0C-AA2289F13B07}"/>
                </a:ext>
              </a:extLst>
            </xdr:cNvPr>
            <xdr:cNvGrpSpPr/>
          </xdr:nvGrpSpPr>
          <xdr:grpSpPr>
            <a:xfrm>
              <a:off x="3105150" y="400050"/>
              <a:ext cx="190500" cy="552639"/>
              <a:chOff x="2876550" y="400050"/>
              <a:chExt cx="190500" cy="552639"/>
            </a:xfrm>
          </xdr:grpSpPr>
          <xdr:pic>
            <xdr:nvPicPr>
              <xdr:cNvPr id="12" name="Picture 11">
                <a:extLst>
                  <a:ext uri="{FF2B5EF4-FFF2-40B4-BE49-F238E27FC236}">
                    <a16:creationId xmlns:a16="http://schemas.microsoft.com/office/drawing/2014/main" id="{5D9D6618-D032-3DA3-AD80-8F3F59EB13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5600" y="796924"/>
                <a:ext cx="152399" cy="155765"/>
              </a:xfrm>
              <a:prstGeom prst="rect">
                <a:avLst/>
              </a:prstGeom>
            </xdr:spPr>
          </xdr:pic>
          <xdr:pic>
            <xdr:nvPicPr>
              <xdr:cNvPr id="13" name="Graphic 12" descr="Envelope with solid fill">
                <a:extLst>
                  <a:ext uri="{FF2B5EF4-FFF2-40B4-BE49-F238E27FC236}">
                    <a16:creationId xmlns:a16="http://schemas.microsoft.com/office/drawing/2014/main" id="{00C4E42E-51DF-F0AB-4298-3D8A1D3C70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2876550" y="400050"/>
                <a:ext cx="190500" cy="190500"/>
              </a:xfrm>
              <a:prstGeom prst="rect">
                <a:avLst/>
              </a:prstGeom>
            </xdr:spPr>
          </xdr:pic>
          <xdr:pic>
            <xdr:nvPicPr>
              <xdr:cNvPr id="14" name="Graphic 13" descr="World with solid fill">
                <a:extLst>
                  <a:ext uri="{FF2B5EF4-FFF2-40B4-BE49-F238E27FC236}">
                    <a16:creationId xmlns:a16="http://schemas.microsoft.com/office/drawing/2014/main" id="{136E7F1F-C6A1-94F8-DF25-5778E963D85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95600" y="609600"/>
                <a:ext cx="161924" cy="161924"/>
              </a:xfrm>
              <a:prstGeom prst="rect">
                <a:avLst/>
              </a:prstGeom>
            </xdr:spPr>
          </xdr:pic>
        </xdr:grpSp>
      </xdr:grpSp>
      <xdr:pic>
        <xdr:nvPicPr>
          <xdr:cNvPr id="8" name="Picture 7">
            <a:extLst>
              <a:ext uri="{FF2B5EF4-FFF2-40B4-BE49-F238E27FC236}">
                <a16:creationId xmlns:a16="http://schemas.microsoft.com/office/drawing/2014/main" id="{BA779969-9500-32F3-5937-C729F7093AC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2926" y="200025"/>
            <a:ext cx="2444400" cy="901866"/>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xdr:colOff>
      <xdr:row>22</xdr:row>
      <xdr:rowOff>145708</xdr:rowOff>
    </xdr:from>
    <xdr:to>
      <xdr:col>9</xdr:col>
      <xdr:colOff>5408613</xdr:colOff>
      <xdr:row>49</xdr:row>
      <xdr:rowOff>107155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23810</xdr:colOff>
      <xdr:row>1</xdr:row>
      <xdr:rowOff>15077</xdr:rowOff>
    </xdr:from>
    <xdr:to>
      <xdr:col>6</xdr:col>
      <xdr:colOff>1104657</xdr:colOff>
      <xdr:row>6</xdr:row>
      <xdr:rowOff>5553</xdr:rowOff>
    </xdr:to>
    <xdr:grpSp>
      <xdr:nvGrpSpPr>
        <xdr:cNvPr id="2" name="Group 1">
          <a:extLst>
            <a:ext uri="{FF2B5EF4-FFF2-40B4-BE49-F238E27FC236}">
              <a16:creationId xmlns:a16="http://schemas.microsoft.com/office/drawing/2014/main" id="{ADB5B5A9-91A8-491C-9403-37FDDF6EEFD3}"/>
            </a:ext>
          </a:extLst>
        </xdr:cNvPr>
        <xdr:cNvGrpSpPr/>
      </xdr:nvGrpSpPr>
      <xdr:grpSpPr>
        <a:xfrm>
          <a:off x="293685" y="197640"/>
          <a:ext cx="8804035" cy="927101"/>
          <a:chOff x="542926" y="200025"/>
          <a:chExt cx="8641283" cy="953559"/>
        </a:xfrm>
      </xdr:grpSpPr>
      <xdr:grpSp>
        <xdr:nvGrpSpPr>
          <xdr:cNvPr id="3" name="Group 2">
            <a:extLst>
              <a:ext uri="{FF2B5EF4-FFF2-40B4-BE49-F238E27FC236}">
                <a16:creationId xmlns:a16="http://schemas.microsoft.com/office/drawing/2014/main" id="{17371547-761A-C395-07CA-B53696019EBF}"/>
              </a:ext>
            </a:extLst>
          </xdr:cNvPr>
          <xdr:cNvGrpSpPr/>
        </xdr:nvGrpSpPr>
        <xdr:grpSpPr>
          <a:xfrm>
            <a:off x="3105150" y="203421"/>
            <a:ext cx="6079059" cy="950163"/>
            <a:chOff x="3105150" y="203421"/>
            <a:chExt cx="6079059" cy="950163"/>
          </a:xfrm>
        </xdr:grpSpPr>
        <xdr:grpSp>
          <xdr:nvGrpSpPr>
            <xdr:cNvPr id="10" name="Group 9">
              <a:extLst>
                <a:ext uri="{FF2B5EF4-FFF2-40B4-BE49-F238E27FC236}">
                  <a16:creationId xmlns:a16="http://schemas.microsoft.com/office/drawing/2014/main" id="{123BCA14-FCC8-D815-E6AF-34607C9B2ECA}"/>
                </a:ext>
              </a:extLst>
            </xdr:cNvPr>
            <xdr:cNvGrpSpPr/>
          </xdr:nvGrpSpPr>
          <xdr:grpSpPr>
            <a:xfrm>
              <a:off x="3267076" y="203421"/>
              <a:ext cx="5917133" cy="950163"/>
              <a:chOff x="3373754" y="196850"/>
              <a:chExt cx="6155056" cy="918278"/>
            </a:xfrm>
          </xdr:grpSpPr>
          <xdr:pic>
            <xdr:nvPicPr>
              <xdr:cNvPr id="16" name="Picture 15">
                <a:extLst>
                  <a:ext uri="{FF2B5EF4-FFF2-40B4-BE49-F238E27FC236}">
                    <a16:creationId xmlns:a16="http://schemas.microsoft.com/office/drawing/2014/main" id="{FF73A5B8-9271-9951-DF4A-BD8F766F02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7853" y="200728"/>
                <a:ext cx="2540957" cy="914400"/>
              </a:xfrm>
              <a:prstGeom prst="rect">
                <a:avLst/>
              </a:prstGeom>
            </xdr:spPr>
          </xdr:pic>
          <xdr:sp macro="" textlink="">
            <xdr:nvSpPr>
              <xdr:cNvPr id="17" name="TextBox 16">
                <a:extLst>
                  <a:ext uri="{FF2B5EF4-FFF2-40B4-BE49-F238E27FC236}">
                    <a16:creationId xmlns:a16="http://schemas.microsoft.com/office/drawing/2014/main" id="{2FD9C72A-D080-DECF-59B2-3DF1CCB1DC58}"/>
                  </a:ext>
                </a:extLst>
              </xdr:cNvPr>
              <xdr:cNvSpPr txBox="1"/>
            </xdr:nvSpPr>
            <xdr:spPr>
              <a:xfrm>
                <a:off x="3373754" y="196850"/>
                <a:ext cx="3329085"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NHLaudit@rcseng.ac.uk</a:t>
                </a:r>
                <a:endParaRPr lang="en-GB">
                  <a:effectLst/>
                </a:endParaRPr>
              </a:p>
              <a:p>
                <a:r>
                  <a:rPr lang="en-GB" sz="1100" baseline="0">
                    <a:solidFill>
                      <a:schemeClr val="tx1"/>
                    </a:solidFill>
                  </a:rPr>
                  <a:t>www.natcan.org.uk/audits/non-hodgkin-lymphoma/</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@NNHLA_natcan</a:t>
                </a:r>
                <a:endParaRPr lang="en-GB" sz="1100">
                  <a:solidFill>
                    <a:srgbClr val="7030A0"/>
                  </a:solidFill>
                </a:endParaRPr>
              </a:p>
              <a:p>
                <a:endParaRPr lang="en-GB" sz="1100">
                  <a:solidFill>
                    <a:srgbClr val="7030A0"/>
                  </a:solidFill>
                </a:endParaRPr>
              </a:p>
            </xdr:txBody>
          </xdr:sp>
        </xdr:grpSp>
        <xdr:grpSp>
          <xdr:nvGrpSpPr>
            <xdr:cNvPr id="12" name="Group 11">
              <a:extLst>
                <a:ext uri="{FF2B5EF4-FFF2-40B4-BE49-F238E27FC236}">
                  <a16:creationId xmlns:a16="http://schemas.microsoft.com/office/drawing/2014/main" id="{77C2D15D-EE5E-51CC-6CCB-1B2AB33F5E8A}"/>
                </a:ext>
              </a:extLst>
            </xdr:cNvPr>
            <xdr:cNvGrpSpPr/>
          </xdr:nvGrpSpPr>
          <xdr:grpSpPr>
            <a:xfrm>
              <a:off x="3105150" y="400050"/>
              <a:ext cx="190500" cy="552639"/>
              <a:chOff x="2876550" y="400050"/>
              <a:chExt cx="190500" cy="552639"/>
            </a:xfrm>
          </xdr:grpSpPr>
          <xdr:pic>
            <xdr:nvPicPr>
              <xdr:cNvPr id="13" name="Picture 12">
                <a:extLst>
                  <a:ext uri="{FF2B5EF4-FFF2-40B4-BE49-F238E27FC236}">
                    <a16:creationId xmlns:a16="http://schemas.microsoft.com/office/drawing/2014/main" id="{83AC9003-7723-39F9-FE83-DE40218FB6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796924"/>
                <a:ext cx="152399" cy="155765"/>
              </a:xfrm>
              <a:prstGeom prst="rect">
                <a:avLst/>
              </a:prstGeom>
            </xdr:spPr>
          </xdr:pic>
          <xdr:pic>
            <xdr:nvPicPr>
              <xdr:cNvPr id="14" name="Graphic 13" descr="Envelope with solid fill">
                <a:extLst>
                  <a:ext uri="{FF2B5EF4-FFF2-40B4-BE49-F238E27FC236}">
                    <a16:creationId xmlns:a16="http://schemas.microsoft.com/office/drawing/2014/main" id="{0C18F70B-5098-6B20-58CA-0598EBC4920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2876550" y="400050"/>
                <a:ext cx="190500" cy="190500"/>
              </a:xfrm>
              <a:prstGeom prst="rect">
                <a:avLst/>
              </a:prstGeom>
            </xdr:spPr>
          </xdr:pic>
          <xdr:pic>
            <xdr:nvPicPr>
              <xdr:cNvPr id="15" name="Graphic 14" descr="World with solid fill">
                <a:extLst>
                  <a:ext uri="{FF2B5EF4-FFF2-40B4-BE49-F238E27FC236}">
                    <a16:creationId xmlns:a16="http://schemas.microsoft.com/office/drawing/2014/main" id="{77017997-CADF-DE0D-8D1C-6B60678AA9C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895600" y="609600"/>
                <a:ext cx="161924" cy="161924"/>
              </a:xfrm>
              <a:prstGeom prst="rect">
                <a:avLst/>
              </a:prstGeom>
            </xdr:spPr>
          </xdr:pic>
        </xdr:grpSp>
      </xdr:grpSp>
      <xdr:pic>
        <xdr:nvPicPr>
          <xdr:cNvPr id="9" name="Picture 8">
            <a:extLst>
              <a:ext uri="{FF2B5EF4-FFF2-40B4-BE49-F238E27FC236}">
                <a16:creationId xmlns:a16="http://schemas.microsoft.com/office/drawing/2014/main" id="{3D2B2BB4-72CE-323F-B0FB-E86C64D4845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2926" y="200025"/>
            <a:ext cx="2444400" cy="901866"/>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23813</xdr:colOff>
      <xdr:row>24</xdr:row>
      <xdr:rowOff>14740</xdr:rowOff>
    </xdr:from>
    <xdr:to>
      <xdr:col>10</xdr:col>
      <xdr:colOff>38895</xdr:colOff>
      <xdr:row>50</xdr:row>
      <xdr:rowOff>169862</xdr:rowOff>
    </xdr:to>
    <xdr:graphicFrame macro="">
      <xdr:nvGraphicFramePr>
        <xdr:cNvPr id="2" name="Chart 1">
          <a:extLst>
            <a:ext uri="{FF2B5EF4-FFF2-40B4-BE49-F238E27FC236}">
              <a16:creationId xmlns:a16="http://schemas.microsoft.com/office/drawing/2014/main" id="{EE02727B-27DD-423C-978C-77706BB0A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23810</xdr:colOff>
      <xdr:row>1</xdr:row>
      <xdr:rowOff>15077</xdr:rowOff>
    </xdr:from>
    <xdr:to>
      <xdr:col>6</xdr:col>
      <xdr:colOff>1104657</xdr:colOff>
      <xdr:row>6</xdr:row>
      <xdr:rowOff>5553</xdr:rowOff>
    </xdr:to>
    <xdr:grpSp>
      <xdr:nvGrpSpPr>
        <xdr:cNvPr id="4" name="Group 3">
          <a:extLst>
            <a:ext uri="{FF2B5EF4-FFF2-40B4-BE49-F238E27FC236}">
              <a16:creationId xmlns:a16="http://schemas.microsoft.com/office/drawing/2014/main" id="{6BF87FC2-9059-4881-BF27-FD64E512571E}"/>
            </a:ext>
          </a:extLst>
        </xdr:cNvPr>
        <xdr:cNvGrpSpPr/>
      </xdr:nvGrpSpPr>
      <xdr:grpSpPr>
        <a:xfrm>
          <a:off x="293685" y="197640"/>
          <a:ext cx="8938972" cy="927101"/>
          <a:chOff x="542926" y="200025"/>
          <a:chExt cx="8641283" cy="953559"/>
        </a:xfrm>
      </xdr:grpSpPr>
      <xdr:grpSp>
        <xdr:nvGrpSpPr>
          <xdr:cNvPr id="5" name="Group 4">
            <a:extLst>
              <a:ext uri="{FF2B5EF4-FFF2-40B4-BE49-F238E27FC236}">
                <a16:creationId xmlns:a16="http://schemas.microsoft.com/office/drawing/2014/main" id="{7B40933B-242C-565B-A36A-6A0660863D27}"/>
              </a:ext>
            </a:extLst>
          </xdr:cNvPr>
          <xdr:cNvGrpSpPr/>
        </xdr:nvGrpSpPr>
        <xdr:grpSpPr>
          <a:xfrm>
            <a:off x="3105150" y="203421"/>
            <a:ext cx="6079059" cy="950163"/>
            <a:chOff x="3105150" y="203421"/>
            <a:chExt cx="6079059" cy="950163"/>
          </a:xfrm>
        </xdr:grpSpPr>
        <xdr:grpSp>
          <xdr:nvGrpSpPr>
            <xdr:cNvPr id="7" name="Group 6">
              <a:extLst>
                <a:ext uri="{FF2B5EF4-FFF2-40B4-BE49-F238E27FC236}">
                  <a16:creationId xmlns:a16="http://schemas.microsoft.com/office/drawing/2014/main" id="{02C4823E-9593-766C-A51E-E8AB34B9A990}"/>
                </a:ext>
              </a:extLst>
            </xdr:cNvPr>
            <xdr:cNvGrpSpPr/>
          </xdr:nvGrpSpPr>
          <xdr:grpSpPr>
            <a:xfrm>
              <a:off x="3267076" y="203421"/>
              <a:ext cx="5917133" cy="950163"/>
              <a:chOff x="3373754" y="196850"/>
              <a:chExt cx="6155057" cy="918278"/>
            </a:xfrm>
          </xdr:grpSpPr>
          <xdr:pic>
            <xdr:nvPicPr>
              <xdr:cNvPr id="12" name="Picture 11">
                <a:extLst>
                  <a:ext uri="{FF2B5EF4-FFF2-40B4-BE49-F238E27FC236}">
                    <a16:creationId xmlns:a16="http://schemas.microsoft.com/office/drawing/2014/main" id="{254DFEC3-B59F-777E-B0E7-A6E1C77ECF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7853" y="200728"/>
                <a:ext cx="2540958" cy="914400"/>
              </a:xfrm>
              <a:prstGeom prst="rect">
                <a:avLst/>
              </a:prstGeom>
            </xdr:spPr>
          </xdr:pic>
          <xdr:sp macro="" textlink="">
            <xdr:nvSpPr>
              <xdr:cNvPr id="13" name="TextBox 12">
                <a:extLst>
                  <a:ext uri="{FF2B5EF4-FFF2-40B4-BE49-F238E27FC236}">
                    <a16:creationId xmlns:a16="http://schemas.microsoft.com/office/drawing/2014/main" id="{0332EB6C-DB33-B445-362F-080A1B8FAF5D}"/>
                  </a:ext>
                </a:extLst>
              </xdr:cNvPr>
              <xdr:cNvSpPr txBox="1"/>
            </xdr:nvSpPr>
            <xdr:spPr>
              <a:xfrm>
                <a:off x="3373754" y="196850"/>
                <a:ext cx="3329085"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NHLaudit@rcseng.ac.uk</a:t>
                </a:r>
                <a:endParaRPr lang="en-GB">
                  <a:effectLst/>
                </a:endParaRPr>
              </a:p>
              <a:p>
                <a:r>
                  <a:rPr lang="en-GB" sz="1100" baseline="0">
                    <a:solidFill>
                      <a:schemeClr val="tx1"/>
                    </a:solidFill>
                  </a:rPr>
                  <a:t>www.natcan.org.uk/audits/non-hodgkin-lymphoma/</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@NNHLA_natcan</a:t>
                </a:r>
                <a:endParaRPr lang="en-GB" sz="1100">
                  <a:solidFill>
                    <a:srgbClr val="7030A0"/>
                  </a:solidFill>
                </a:endParaRPr>
              </a:p>
              <a:p>
                <a:endParaRPr lang="en-GB" sz="1100">
                  <a:solidFill>
                    <a:srgbClr val="7030A0"/>
                  </a:solidFill>
                </a:endParaRPr>
              </a:p>
            </xdr:txBody>
          </xdr:sp>
        </xdr:grpSp>
        <xdr:grpSp>
          <xdr:nvGrpSpPr>
            <xdr:cNvPr id="8" name="Group 7">
              <a:extLst>
                <a:ext uri="{FF2B5EF4-FFF2-40B4-BE49-F238E27FC236}">
                  <a16:creationId xmlns:a16="http://schemas.microsoft.com/office/drawing/2014/main" id="{C4BC50AD-B746-A171-BC23-951E2C4FECCC}"/>
                </a:ext>
              </a:extLst>
            </xdr:cNvPr>
            <xdr:cNvGrpSpPr/>
          </xdr:nvGrpSpPr>
          <xdr:grpSpPr>
            <a:xfrm>
              <a:off x="3105150" y="400050"/>
              <a:ext cx="190500" cy="552639"/>
              <a:chOff x="2876550" y="400050"/>
              <a:chExt cx="190500" cy="552639"/>
            </a:xfrm>
          </xdr:grpSpPr>
          <xdr:pic>
            <xdr:nvPicPr>
              <xdr:cNvPr id="9" name="Picture 8">
                <a:extLst>
                  <a:ext uri="{FF2B5EF4-FFF2-40B4-BE49-F238E27FC236}">
                    <a16:creationId xmlns:a16="http://schemas.microsoft.com/office/drawing/2014/main" id="{6DE8DE32-7D08-A863-6EA9-4CD4DE2DC5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796924"/>
                <a:ext cx="152399" cy="155765"/>
              </a:xfrm>
              <a:prstGeom prst="rect">
                <a:avLst/>
              </a:prstGeom>
            </xdr:spPr>
          </xdr:pic>
          <xdr:pic>
            <xdr:nvPicPr>
              <xdr:cNvPr id="10" name="Graphic 9" descr="Envelope with solid fill">
                <a:extLst>
                  <a:ext uri="{FF2B5EF4-FFF2-40B4-BE49-F238E27FC236}">
                    <a16:creationId xmlns:a16="http://schemas.microsoft.com/office/drawing/2014/main" id="{D1076653-9FA1-D98F-FACF-EEEB960999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2876550" y="400050"/>
                <a:ext cx="190500" cy="190500"/>
              </a:xfrm>
              <a:prstGeom prst="rect">
                <a:avLst/>
              </a:prstGeom>
            </xdr:spPr>
          </xdr:pic>
          <xdr:pic>
            <xdr:nvPicPr>
              <xdr:cNvPr id="11" name="Graphic 10" descr="World with solid fill">
                <a:extLst>
                  <a:ext uri="{FF2B5EF4-FFF2-40B4-BE49-F238E27FC236}">
                    <a16:creationId xmlns:a16="http://schemas.microsoft.com/office/drawing/2014/main" id="{EFF28A94-A60A-6F61-154F-DB87700B8C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895600" y="609600"/>
                <a:ext cx="161924" cy="161924"/>
              </a:xfrm>
              <a:prstGeom prst="rect">
                <a:avLst/>
              </a:prstGeom>
            </xdr:spPr>
          </xdr:pic>
        </xdr:grpSp>
      </xdr:grpSp>
      <xdr:pic>
        <xdr:nvPicPr>
          <xdr:cNvPr id="6" name="Picture 5">
            <a:extLst>
              <a:ext uri="{FF2B5EF4-FFF2-40B4-BE49-F238E27FC236}">
                <a16:creationId xmlns:a16="http://schemas.microsoft.com/office/drawing/2014/main" id="{324EBEB4-71AA-E780-2914-EAC0283B43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2926" y="200025"/>
            <a:ext cx="2444400" cy="90186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35718</xdr:colOff>
      <xdr:row>0</xdr:row>
      <xdr:rowOff>119060</xdr:rowOff>
    </xdr:from>
    <xdr:to>
      <xdr:col>4</xdr:col>
      <xdr:colOff>998031</xdr:colOff>
      <xdr:row>5</xdr:row>
      <xdr:rowOff>100010</xdr:rowOff>
    </xdr:to>
    <xdr:grpSp>
      <xdr:nvGrpSpPr>
        <xdr:cNvPr id="22" name="Group 21">
          <a:extLst>
            <a:ext uri="{FF2B5EF4-FFF2-40B4-BE49-F238E27FC236}">
              <a16:creationId xmlns:a16="http://schemas.microsoft.com/office/drawing/2014/main" id="{0C3A7DB4-9A18-4B0A-A260-EA34CEF3FE93}"/>
            </a:ext>
          </a:extLst>
        </xdr:cNvPr>
        <xdr:cNvGrpSpPr/>
      </xdr:nvGrpSpPr>
      <xdr:grpSpPr>
        <a:xfrm>
          <a:off x="265906" y="119060"/>
          <a:ext cx="9447500" cy="893763"/>
          <a:chOff x="542926" y="196850"/>
          <a:chExt cx="8598982" cy="946150"/>
        </a:xfrm>
      </xdr:grpSpPr>
      <xdr:grpSp>
        <xdr:nvGrpSpPr>
          <xdr:cNvPr id="23" name="Group 22">
            <a:extLst>
              <a:ext uri="{FF2B5EF4-FFF2-40B4-BE49-F238E27FC236}">
                <a16:creationId xmlns:a16="http://schemas.microsoft.com/office/drawing/2014/main" id="{9E3D3F09-D3A7-47A1-0137-F24FA0661C50}"/>
              </a:ext>
            </a:extLst>
          </xdr:cNvPr>
          <xdr:cNvGrpSpPr/>
        </xdr:nvGrpSpPr>
        <xdr:grpSpPr>
          <a:xfrm>
            <a:off x="3105150" y="196850"/>
            <a:ext cx="6036758" cy="946150"/>
            <a:chOff x="3105150" y="196850"/>
            <a:chExt cx="6036758" cy="946150"/>
          </a:xfrm>
        </xdr:grpSpPr>
        <xdr:grpSp>
          <xdr:nvGrpSpPr>
            <xdr:cNvPr id="25" name="Group 24">
              <a:extLst>
                <a:ext uri="{FF2B5EF4-FFF2-40B4-BE49-F238E27FC236}">
                  <a16:creationId xmlns:a16="http://schemas.microsoft.com/office/drawing/2014/main" id="{274ED615-AD7D-2339-005F-9D4E82C2548C}"/>
                </a:ext>
              </a:extLst>
            </xdr:cNvPr>
            <xdr:cNvGrpSpPr/>
          </xdr:nvGrpSpPr>
          <xdr:grpSpPr>
            <a:xfrm>
              <a:off x="3267076" y="196850"/>
              <a:ext cx="5874832" cy="946150"/>
              <a:chOff x="3373754" y="190500"/>
              <a:chExt cx="6111054" cy="914400"/>
            </a:xfrm>
          </xdr:grpSpPr>
          <xdr:pic>
            <xdr:nvPicPr>
              <xdr:cNvPr id="30" name="Picture 29">
                <a:extLst>
                  <a:ext uri="{FF2B5EF4-FFF2-40B4-BE49-F238E27FC236}">
                    <a16:creationId xmlns:a16="http://schemas.microsoft.com/office/drawing/2014/main" id="{7C9EC5AC-8981-E86C-4E1B-6776637508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sp macro="" textlink="">
            <xdr:nvSpPr>
              <xdr:cNvPr id="31" name="TextBox 30">
                <a:extLst>
                  <a:ext uri="{FF2B5EF4-FFF2-40B4-BE49-F238E27FC236}">
                    <a16:creationId xmlns:a16="http://schemas.microsoft.com/office/drawing/2014/main" id="{3D0F198D-4A13-5B5C-FFA6-9F90D77A2BCB}"/>
                  </a:ext>
                </a:extLst>
              </xdr:cNvPr>
              <xdr:cNvSpPr txBox="1"/>
            </xdr:nvSpPr>
            <xdr:spPr>
              <a:xfrm>
                <a:off x="3373754" y="196850"/>
                <a:ext cx="3329085"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NHLaudit@rcseng.ac.uk</a:t>
                </a:r>
                <a:endParaRPr lang="en-GB">
                  <a:effectLst/>
                </a:endParaRPr>
              </a:p>
              <a:p>
                <a:r>
                  <a:rPr lang="en-GB" sz="1100" baseline="0">
                    <a:solidFill>
                      <a:schemeClr val="tx1"/>
                    </a:solidFill>
                  </a:rPr>
                  <a:t>www.natcan.org.uk/audits/non-hodgkin-lymphoma/</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@NNHLA_natcan</a:t>
                </a:r>
                <a:endParaRPr lang="en-GB" sz="1100">
                  <a:solidFill>
                    <a:srgbClr val="7030A0"/>
                  </a:solidFill>
                </a:endParaRPr>
              </a:p>
              <a:p>
                <a:endParaRPr lang="en-GB" sz="1100">
                  <a:solidFill>
                    <a:srgbClr val="7030A0"/>
                  </a:solidFill>
                </a:endParaRPr>
              </a:p>
            </xdr:txBody>
          </xdr:sp>
        </xdr:grpSp>
        <xdr:grpSp>
          <xdr:nvGrpSpPr>
            <xdr:cNvPr id="26" name="Group 25">
              <a:extLst>
                <a:ext uri="{FF2B5EF4-FFF2-40B4-BE49-F238E27FC236}">
                  <a16:creationId xmlns:a16="http://schemas.microsoft.com/office/drawing/2014/main" id="{85FDB843-5C54-AF85-A4CC-022A41FF85C5}"/>
                </a:ext>
              </a:extLst>
            </xdr:cNvPr>
            <xdr:cNvGrpSpPr/>
          </xdr:nvGrpSpPr>
          <xdr:grpSpPr>
            <a:xfrm>
              <a:off x="3105150" y="400050"/>
              <a:ext cx="190500" cy="552639"/>
              <a:chOff x="2876550" y="400050"/>
              <a:chExt cx="190500" cy="552639"/>
            </a:xfrm>
          </xdr:grpSpPr>
          <xdr:pic>
            <xdr:nvPicPr>
              <xdr:cNvPr id="27" name="Picture 26">
                <a:extLst>
                  <a:ext uri="{FF2B5EF4-FFF2-40B4-BE49-F238E27FC236}">
                    <a16:creationId xmlns:a16="http://schemas.microsoft.com/office/drawing/2014/main" id="{FCE8080D-1D97-A748-E325-4BF817B380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5600" y="796924"/>
                <a:ext cx="152399" cy="155765"/>
              </a:xfrm>
              <a:prstGeom prst="rect">
                <a:avLst/>
              </a:prstGeom>
            </xdr:spPr>
          </xdr:pic>
          <xdr:pic>
            <xdr:nvPicPr>
              <xdr:cNvPr id="28" name="Graphic 27" descr="Envelope with solid fill">
                <a:extLst>
                  <a:ext uri="{FF2B5EF4-FFF2-40B4-BE49-F238E27FC236}">
                    <a16:creationId xmlns:a16="http://schemas.microsoft.com/office/drawing/2014/main" id="{0C808F73-4A36-F2CF-1719-D77FA71045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2876550" y="400050"/>
                <a:ext cx="190500" cy="190500"/>
              </a:xfrm>
              <a:prstGeom prst="rect">
                <a:avLst/>
              </a:prstGeom>
            </xdr:spPr>
          </xdr:pic>
          <xdr:pic>
            <xdr:nvPicPr>
              <xdr:cNvPr id="29" name="Graphic 28" descr="World with solid fill">
                <a:extLst>
                  <a:ext uri="{FF2B5EF4-FFF2-40B4-BE49-F238E27FC236}">
                    <a16:creationId xmlns:a16="http://schemas.microsoft.com/office/drawing/2014/main" id="{C54C23DF-5A6A-D8E3-0195-73A33FEA15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95600" y="609600"/>
                <a:ext cx="161924" cy="161924"/>
              </a:xfrm>
              <a:prstGeom prst="rect">
                <a:avLst/>
              </a:prstGeom>
            </xdr:spPr>
          </xdr:pic>
        </xdr:grpSp>
      </xdr:grpSp>
      <xdr:pic>
        <xdr:nvPicPr>
          <xdr:cNvPr id="24" name="Picture 23">
            <a:extLst>
              <a:ext uri="{FF2B5EF4-FFF2-40B4-BE49-F238E27FC236}">
                <a16:creationId xmlns:a16="http://schemas.microsoft.com/office/drawing/2014/main" id="{01CB0FDC-AE11-A8FA-E26C-84ADE22497A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2926" y="200025"/>
            <a:ext cx="2444400" cy="90186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la Barber" refreshedDate="45364.578454513889" createdVersion="8" refreshedVersion="8" minRefreshableVersion="3" recordCount="129" xr:uid="{34470437-DE4C-4013-9D70-4D051AD9C504}">
  <cacheSource type="worksheet">
    <worksheetSource name="Table1"/>
  </cacheSource>
  <cacheFields count="4">
    <cacheField name="trust_name" numFmtId="0">
      <sharedItems/>
    </cacheField>
    <cacheField name="trust_code" numFmtId="0">
      <sharedItems/>
    </cacheField>
    <cacheField name="alliance_name" numFmtId="0">
      <sharedItems count="22">
        <s v="West Yorkshire and Harrogate"/>
        <s v="Surrey and Sussex"/>
        <s v="North East London"/>
        <s v="South Yorkshire and Bassetlaw"/>
        <s v="East of England - South"/>
        <s v="Lancashire and South Cumbria"/>
        <s v="Greater Manchester"/>
        <s v="Thames Valley"/>
        <s v="East of England - North"/>
        <s v="RM Partners West London"/>
        <s v="Cheshire and Merseyside"/>
        <s v="Northern"/>
        <s v="Kent and Medway"/>
        <s v="Wessex"/>
        <s v="West Midlands"/>
        <s v="Somerset, Wiltshire, Avon and Gloucestershire"/>
        <s v="South East London"/>
        <s v="Humber and North Yorkshire"/>
        <s v="East Midlands"/>
        <s v="North Central London"/>
        <s v="Peninsula"/>
        <s v="" u="1"/>
      </sharedItems>
    </cacheField>
    <cacheField name="alliance_cod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s v="Airedale NHS Foundation Trust"/>
    <s v="RCF"/>
    <x v="0"/>
    <m/>
  </r>
  <r>
    <s v="Ashford and St Peter's Hospitals NHS Foundation Trust"/>
    <s v="RTK"/>
    <x v="1"/>
    <m/>
  </r>
  <r>
    <s v="Barking, Havering and Redbridge University Hospitals NHS Trust"/>
    <s v="RF4"/>
    <x v="2"/>
    <m/>
  </r>
  <r>
    <s v="Barnsley Hospital NHS Foundation Trust"/>
    <s v="RFF"/>
    <x v="3"/>
    <m/>
  </r>
  <r>
    <s v="Barts Health NHS Trust"/>
    <s v="R1H"/>
    <x v="2"/>
    <m/>
  </r>
  <r>
    <s v="Bedfordshire Hospitals NHS Foundation Trust"/>
    <s v="RC9"/>
    <x v="4"/>
    <m/>
  </r>
  <r>
    <s v="Blackpool Teaching Hospitals NHS Foundation Trust"/>
    <s v="RXL"/>
    <x v="5"/>
    <m/>
  </r>
  <r>
    <s v="Bolton NHS Foundation Trust"/>
    <s v="RMC"/>
    <x v="6"/>
    <m/>
  </r>
  <r>
    <s v="Bradford Teaching Hospitals NHS Foundation Trust"/>
    <s v="RAE"/>
    <x v="0"/>
    <m/>
  </r>
  <r>
    <s v="Buckinghamshire Healthcare NHS Trust"/>
    <s v="RXQ"/>
    <x v="7"/>
    <m/>
  </r>
  <r>
    <s v="Calderdale and Huddersfield NHS Foundation Trust"/>
    <s v="RWY"/>
    <x v="0"/>
    <m/>
  </r>
  <r>
    <s v="Cambridge University Hospitals NHS Foundation Trust"/>
    <s v="RGT"/>
    <x v="8"/>
    <m/>
  </r>
  <r>
    <s v="Chelsea and Westminster Hospital NHS Foundation Trust"/>
    <s v="RQM"/>
    <x v="9"/>
    <m/>
  </r>
  <r>
    <s v="Chesterfield Royal Hospital NHS Foundation Trust"/>
    <s v="RFS"/>
    <x v="3"/>
    <m/>
  </r>
  <r>
    <s v="Christie NHS Foundation Trust"/>
    <s v="RBV"/>
    <x v="6"/>
    <m/>
  </r>
  <r>
    <s v="Clatterbridge Cancer Centre NHS Foundation Trust"/>
    <s v="REN"/>
    <x v="10"/>
    <m/>
  </r>
  <r>
    <s v="Countess Of Chester Hospital NHS Foundation Trust"/>
    <s v="RJR"/>
    <x v="10"/>
    <m/>
  </r>
  <r>
    <s v="County Durham and Darlington NHS Foundation Trust"/>
    <s v="RXP"/>
    <x v="11"/>
    <m/>
  </r>
  <r>
    <s v="Croydon Health Services NHS Trust"/>
    <s v="RJ6"/>
    <x v="9"/>
    <m/>
  </r>
  <r>
    <s v="Dartford and Gravesham NHS Trust"/>
    <s v="RN7"/>
    <x v="12"/>
    <m/>
  </r>
  <r>
    <s v="Doncaster and Bassetlaw Teaching Hospitals NHS Foundation Trust"/>
    <s v="RP5"/>
    <x v="3"/>
    <m/>
  </r>
  <r>
    <s v="Dorset County Hospital NHS Foundation Trust"/>
    <s v="RBD"/>
    <x v="13"/>
    <m/>
  </r>
  <r>
    <s v="Dudley Group NHS Foundation Trust"/>
    <s v="RNA"/>
    <x v="14"/>
    <m/>
  </r>
  <r>
    <s v="East and North Hertfordshire NHS Trust"/>
    <s v="RWH"/>
    <x v="4"/>
    <m/>
  </r>
  <r>
    <s v="East Cheshire NHS Trust"/>
    <s v="RJN"/>
    <x v="10"/>
    <m/>
  </r>
  <r>
    <s v="East Kent Hospitals University NHS Foundation Trust"/>
    <s v="RVV"/>
    <x v="12"/>
    <m/>
  </r>
  <r>
    <s v="East Lancashire Hospitals NHS Trust"/>
    <s v="RXR"/>
    <x v="5"/>
    <m/>
  </r>
  <r>
    <s v="East Suffolk and North Essex NHS Foundation Trust"/>
    <s v="RDE"/>
    <x v="8"/>
    <m/>
  </r>
  <r>
    <s v="East Sussex Healthcare NHS Trust"/>
    <s v="RXC"/>
    <x v="1"/>
    <m/>
  </r>
  <r>
    <s v="Epsom and St Helier University Hospitals NHS Trust"/>
    <s v="RVR"/>
    <x v="9"/>
    <m/>
  </r>
  <r>
    <s v="Frimley Health NHS Foundation Trust"/>
    <s v="RDU"/>
    <x v="1"/>
    <m/>
  </r>
  <r>
    <s v="Gateshead Health NHS Foundation Trust"/>
    <s v="RR7"/>
    <x v="11"/>
    <m/>
  </r>
  <r>
    <s v="George Eliot Hospital NHS Trust"/>
    <s v="RLT"/>
    <x v="14"/>
    <m/>
  </r>
  <r>
    <s v="Gloucestershire Hospitals NHS Foundation Trust"/>
    <s v="RTE"/>
    <x v="15"/>
    <m/>
  </r>
  <r>
    <s v="Great Western Hospitals NHS Foundation Trust"/>
    <s v="RN3"/>
    <x v="7"/>
    <m/>
  </r>
  <r>
    <s v="Guy's and St Thomas' NHS Foundation Trust"/>
    <s v="RJ1"/>
    <x v="16"/>
    <m/>
  </r>
  <r>
    <s v="Hampshire Hospitals NHS Foundation Trust"/>
    <s v="RN5"/>
    <x v="13"/>
    <m/>
  </r>
  <r>
    <s v="Harrogate and District NHS Foundation Trust"/>
    <s v="RCD"/>
    <x v="0"/>
    <m/>
  </r>
  <r>
    <s v="Hillingdon Hospitals NHS Foundation Trust"/>
    <s v="RAS"/>
    <x v="9"/>
    <m/>
  </r>
  <r>
    <s v="Homerton Healthcare NHS Foundation Trust"/>
    <s v="RQX"/>
    <x v="2"/>
    <m/>
  </r>
  <r>
    <s v="Hull University Teaching Hospitals NHS Trust"/>
    <s v="RWA"/>
    <x v="17"/>
    <m/>
  </r>
  <r>
    <s v="Imperial College Healthcare NHS Trust"/>
    <s v="RYJ"/>
    <x v="9"/>
    <m/>
  </r>
  <r>
    <s v="Isle Of Wight NHS Trust"/>
    <s v="R1F"/>
    <x v="13"/>
    <m/>
  </r>
  <r>
    <s v="James Paget University Hospitals NHS Foundation Trust"/>
    <s v="RGP"/>
    <x v="8"/>
    <m/>
  </r>
  <r>
    <s v="Kettering General Hospital NHS Foundation Trust"/>
    <s v="RNQ"/>
    <x v="18"/>
    <m/>
  </r>
  <r>
    <s v="King's College Hospital NHS Foundation Trust"/>
    <s v="RJZ"/>
    <x v="16"/>
    <m/>
  </r>
  <r>
    <s v="Kingston Hospital NHS Foundation Trust"/>
    <s v="RAX"/>
    <x v="9"/>
    <m/>
  </r>
  <r>
    <s v="Lancashire Teaching Hospitals NHS Foundation Trust"/>
    <s v="RXN"/>
    <x v="5"/>
    <m/>
  </r>
  <r>
    <s v="Leeds Teaching Hospitals NHS Trust"/>
    <s v="RR8"/>
    <x v="0"/>
    <m/>
  </r>
  <r>
    <s v="Lewisham and Greenwich NHS Trust"/>
    <s v="RJ2"/>
    <x v="16"/>
    <m/>
  </r>
  <r>
    <s v="Liverpool Heart and Chest Hospital NHS Foundation Trust"/>
    <s v="RBQ"/>
    <x v="10"/>
    <m/>
  </r>
  <r>
    <s v="Liverpool University Hospitals NHS Foundation Trust"/>
    <s v="REM"/>
    <x v="10"/>
    <m/>
  </r>
  <r>
    <s v="London North West University Healthcare NHS Trust"/>
    <s v="R1K"/>
    <x v="9"/>
    <m/>
  </r>
  <r>
    <s v="Maidstone and Tunbridge Wells NHS Trust"/>
    <s v="RWF"/>
    <x v="12"/>
    <m/>
  </r>
  <r>
    <s v="Manchester University NHS Foundation Trust"/>
    <s v="R0A"/>
    <x v="6"/>
    <m/>
  </r>
  <r>
    <s v="Medway NHS Foundation Trust"/>
    <s v="RPA"/>
    <x v="12"/>
    <m/>
  </r>
  <r>
    <s v="Mersey And West Lancashire Teaching Hospitals NHS Trust"/>
    <s v="RBN"/>
    <x v="10"/>
    <m/>
  </r>
  <r>
    <s v="Mid and South Essex NHS Foundation Trust"/>
    <s v="RAJ"/>
    <x v="4"/>
    <m/>
  </r>
  <r>
    <s v="Mid Cheshire Hospitals NHS Foundation Trust"/>
    <s v="RBT"/>
    <x v="10"/>
    <m/>
  </r>
  <r>
    <s v="Mid Yorkshire Teaching NHS Trust"/>
    <s v="RXF"/>
    <x v="0"/>
    <m/>
  </r>
  <r>
    <s v="Milton Keynes University Hospital NHS Foundation Trust"/>
    <s v="RD8"/>
    <x v="4"/>
    <m/>
  </r>
  <r>
    <s v="Newcastle Upon Tyne Hospitals NHS Foundation Trust"/>
    <s v="RTD"/>
    <x v="11"/>
    <m/>
  </r>
  <r>
    <s v="Norfolk and Norwich University Hospitals NHS Foundation Trust"/>
    <s v="RM1"/>
    <x v="8"/>
    <m/>
  </r>
  <r>
    <s v="North Bristol NHS Trust"/>
    <s v="RVJ"/>
    <x v="15"/>
    <m/>
  </r>
  <r>
    <s v="North Cumbria Integrated Care NHS Foundation Trust"/>
    <s v="RNN"/>
    <x v="11"/>
    <m/>
  </r>
  <r>
    <s v="North Middlesex University Hospital NHS Trust"/>
    <s v="RAP"/>
    <x v="19"/>
    <m/>
  </r>
  <r>
    <s v="North Tees and Hartlepool NHS Foundation Trust"/>
    <s v="RVW"/>
    <x v="11"/>
    <m/>
  </r>
  <r>
    <s v="North West Anglia NHS Foundation Trust"/>
    <s v="RGN"/>
    <x v="8"/>
    <m/>
  </r>
  <r>
    <s v="Northampton General Hospital NHS Trust"/>
    <s v="RNS"/>
    <x v="18"/>
    <m/>
  </r>
  <r>
    <s v="Northern Care Alliance NHS Foundation Trust"/>
    <s v="RM3"/>
    <x v="6"/>
    <m/>
  </r>
  <r>
    <s v="Northern Lincolnshire and Goole NHS Foundation Trust"/>
    <s v="RJL"/>
    <x v="17"/>
    <m/>
  </r>
  <r>
    <s v="Northumbria Healthcare NHS Foundation Trust"/>
    <s v="RTF"/>
    <x v="11"/>
    <m/>
  </r>
  <r>
    <s v="Nottingham University Hospitals NHS Trust"/>
    <s v="RX1"/>
    <x v="18"/>
    <m/>
  </r>
  <r>
    <s v="Oxford University Hospitals NHS Foundation Trust"/>
    <s v="RTH"/>
    <x v="7"/>
    <m/>
  </r>
  <r>
    <s v="Portsmouth Hospitals University NHS Trust"/>
    <s v="RHU"/>
    <x v="13"/>
    <m/>
  </r>
  <r>
    <s v="Princess Alexandra Hospital NHS Trust"/>
    <s v="RQW"/>
    <x v="4"/>
    <m/>
  </r>
  <r>
    <s v="Queen Elizabeth Hospital, King's Lynn, NHS Foundation Trust"/>
    <s v="RCX"/>
    <x v="8"/>
    <m/>
  </r>
  <r>
    <s v="Queen Victoria Hospital NHS Foundation Trust"/>
    <s v="RPC"/>
    <x v="1"/>
    <m/>
  </r>
  <r>
    <s v="Robert Jones and Agnes Hunt Orthopaedic Hospital NHS Foundation Trust"/>
    <s v="RL1"/>
    <x v="14"/>
    <m/>
  </r>
  <r>
    <s v="Rotherham NHS Foundation Trust"/>
    <s v="RFR"/>
    <x v="3"/>
    <m/>
  </r>
  <r>
    <s v="Royal Berkshire NHS Foundation Trust"/>
    <s v="RHW"/>
    <x v="7"/>
    <m/>
  </r>
  <r>
    <s v="Royal Cornwall Hospitals NHS Trust"/>
    <s v="REF"/>
    <x v="20"/>
    <m/>
  </r>
  <r>
    <s v="Royal Devon University Healthcare NHS Foundation Trust"/>
    <s v="RH8"/>
    <x v="20"/>
    <m/>
  </r>
  <r>
    <s v="Royal Free London NHS Foundation Trust"/>
    <s v="RAL"/>
    <x v="19"/>
    <m/>
  </r>
  <r>
    <s v="Royal Marsden NHS Foundation Trust"/>
    <s v="RPY"/>
    <x v="9"/>
    <m/>
  </r>
  <r>
    <s v="Royal National Orthopaedic Hospital NHS Trust"/>
    <s v="RAN"/>
    <x v="19"/>
    <m/>
  </r>
  <r>
    <s v="Royal Orthopaedic Hospital NHS Foundation Trust"/>
    <s v="RRJ"/>
    <x v="14"/>
    <m/>
  </r>
  <r>
    <s v="Royal Papworth Hospital NHS Foundation Trust"/>
    <s v="RGM"/>
    <x v="8"/>
    <m/>
  </r>
  <r>
    <s v="Royal Surrey County Hospital NHS Foundation Trust"/>
    <s v="RA2"/>
    <x v="1"/>
    <m/>
  </r>
  <r>
    <s v="Royal United Hospitals Bath NHS Foundation Trust"/>
    <s v="RD1"/>
    <x v="15"/>
    <m/>
  </r>
  <r>
    <s v="Royal Wolverhampton NHS Trust"/>
    <s v="RL4"/>
    <x v="14"/>
    <m/>
  </r>
  <r>
    <s v="Salisbury NHS Foundation Trust"/>
    <s v="RNZ"/>
    <x v="15"/>
    <m/>
  </r>
  <r>
    <s v="Sandwell and West Birmingham Hospitals NHS Trust"/>
    <s v="RXK"/>
    <x v="14"/>
    <m/>
  </r>
  <r>
    <s v="Sheffield Teaching Hospitals NHS Foundation Trust"/>
    <s v="RHQ"/>
    <x v="3"/>
    <m/>
  </r>
  <r>
    <s v="Sherwood Forest Hospitals NHS Foundation Trust"/>
    <s v="RK5"/>
    <x v="18"/>
    <m/>
  </r>
  <r>
    <s v="Shrewsbury and Telford Hospital NHS Trust"/>
    <s v="RXW"/>
    <x v="14"/>
    <m/>
  </r>
  <r>
    <s v="Somerset NHS Foundation Trust"/>
    <s v="RH5"/>
    <x v="15"/>
    <m/>
  </r>
  <r>
    <s v="South Tees Hospitals NHS Foundation Trust"/>
    <s v="RTR"/>
    <x v="11"/>
    <m/>
  </r>
  <r>
    <s v="South Tyneside and Sunderland NHS Foundation Trust"/>
    <s v="R0B"/>
    <x v="11"/>
    <m/>
  </r>
  <r>
    <s v="South Warwickshire University NHS Foundation Trust"/>
    <s v="RJC"/>
    <x v="14"/>
    <m/>
  </r>
  <r>
    <s v="St George's University Hospitals NHS Foundation Trust"/>
    <s v="RJ7"/>
    <x v="9"/>
    <m/>
  </r>
  <r>
    <s v="Stockport NHS Foundation Trust"/>
    <s v="RWJ"/>
    <x v="6"/>
    <m/>
  </r>
  <r>
    <s v="Surrey and Sussex Healthcare NHS Trust"/>
    <s v="RTP"/>
    <x v="1"/>
    <m/>
  </r>
  <r>
    <s v="Tameside and Glossop Integrated Care NHS Foundation Trust"/>
    <s v="RMP"/>
    <x v="6"/>
    <m/>
  </r>
  <r>
    <s v="The Walton Centre NHS Foundation Trust"/>
    <s v="RET"/>
    <x v="10"/>
    <m/>
  </r>
  <r>
    <s v="Torbay and South Devon NHS Foundation Trust"/>
    <s v="RA9"/>
    <x v="20"/>
    <m/>
  </r>
  <r>
    <s v="United Lincolnshire Hospitals NHS Trust"/>
    <s v="RWD"/>
    <x v="18"/>
    <m/>
  </r>
  <r>
    <s v="University College London Hospitals NHS Foundation Trust"/>
    <s v="RRV"/>
    <x v="19"/>
    <m/>
  </r>
  <r>
    <s v="University Hospital Southampton NHS Foundation Trust"/>
    <s v="RHM"/>
    <x v="13"/>
    <m/>
  </r>
  <r>
    <s v="University Hospitals Birmingham NHS Foundation Trust"/>
    <s v="RRK"/>
    <x v="14"/>
    <m/>
  </r>
  <r>
    <s v="University Hospitals Bristol and Weston NHS Foundation Trust"/>
    <s v="RA7"/>
    <x v="15"/>
    <m/>
  </r>
  <r>
    <s v="University Hospitals Coventry and Warwickshire NHS Trust"/>
    <s v="RKB"/>
    <x v="14"/>
    <m/>
  </r>
  <r>
    <s v="University Hospitals Dorset NHS Foundation Trust"/>
    <s v="R0D"/>
    <x v="13"/>
    <m/>
  </r>
  <r>
    <s v="University Hospitals Of Derby and Burton NHS Foundation Trust"/>
    <s v="RTG"/>
    <x v="18"/>
    <m/>
  </r>
  <r>
    <s v="University Hospitals Of Leicester NHS Trust"/>
    <s v="RWE"/>
    <x v="18"/>
    <m/>
  </r>
  <r>
    <s v="University Hospitals Of Morecambe Bay NHS Foundation Trust"/>
    <s v="RTX"/>
    <x v="5"/>
    <m/>
  </r>
  <r>
    <s v="University Hospitals Of North Midlands NHS Trust"/>
    <s v="RJE"/>
    <x v="14"/>
    <m/>
  </r>
  <r>
    <s v="University Hospitals Plymouth NHS Trust"/>
    <s v="RK9"/>
    <x v="20"/>
    <m/>
  </r>
  <r>
    <s v="University Hospitals Sussex NHS Foundation Trust"/>
    <s v="RYR"/>
    <x v="1"/>
    <m/>
  </r>
  <r>
    <s v="Walsall Healthcare NHS Trust"/>
    <s v="RBK"/>
    <x v="14"/>
    <m/>
  </r>
  <r>
    <s v="Warrington and Halton Teaching Hospitals NHS Foundation Trust"/>
    <s v="RWW"/>
    <x v="10"/>
    <m/>
  </r>
  <r>
    <s v="West Hertfordshire Teaching Hospitals NHS Trust"/>
    <s v="RWG"/>
    <x v="4"/>
    <m/>
  </r>
  <r>
    <s v="West Suffolk NHS Foundation Trust"/>
    <s v="RGR"/>
    <x v="8"/>
    <m/>
  </r>
  <r>
    <s v="Whittington Health NHS Trust"/>
    <s v="RKE"/>
    <x v="19"/>
    <m/>
  </r>
  <r>
    <s v="Wirral University Teaching Hospital NHS Foundation Trust"/>
    <s v="RBL"/>
    <x v="10"/>
    <m/>
  </r>
  <r>
    <s v="Worcestershire Acute Hospitals NHS Trust"/>
    <s v="RWP"/>
    <x v="14"/>
    <m/>
  </r>
  <r>
    <s v="Wrightington, Wigan and Leigh NHS Foundation Trust"/>
    <s v="RRF"/>
    <x v="6"/>
    <m/>
  </r>
  <r>
    <s v="Wye Valley NHS Trust"/>
    <s v="RLQ"/>
    <x v="14"/>
    <m/>
  </r>
  <r>
    <s v="York and Scarborough Teaching Hospitals NHS Foundation Trust"/>
    <s v="RCB"/>
    <x v="1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ED19CA-12B7-47D0-9FBA-69CD7F4C6BD7}"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62:H84" firstHeaderRow="1" firstDataRow="1" firstDataCol="1"/>
  <pivotFields count="4">
    <pivotField showAll="0"/>
    <pivotField showAll="0"/>
    <pivotField axis="axisRow" dataField="1" showAll="0" sortType="ascending">
      <items count="23">
        <item m="1" x="21"/>
        <item x="10"/>
        <item x="18"/>
        <item x="8"/>
        <item x="4"/>
        <item x="6"/>
        <item x="17"/>
        <item x="12"/>
        <item x="5"/>
        <item x="19"/>
        <item x="2"/>
        <item x="11"/>
        <item x="20"/>
        <item x="9"/>
        <item x="15"/>
        <item x="16"/>
        <item x="3"/>
        <item x="1"/>
        <item x="7"/>
        <item x="13"/>
        <item x="14"/>
        <item x="0"/>
        <item t="default"/>
      </items>
    </pivotField>
    <pivotField showAll="0"/>
  </pivotFields>
  <rowFields count="1">
    <field x="2"/>
  </rowFields>
  <rowItems count="22">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Count of alliance_name" fld="2" subtotal="count" baseField="0" baseItem="0"/>
  </dataFields>
  <formats count="2">
    <format dxfId="46">
      <pivotArea collapsedLevelsAreSubtotals="1" fieldPosition="0">
        <references count="1">
          <reference field="2" count="1">
            <x v="0"/>
          </reference>
        </references>
      </pivotArea>
    </format>
    <format dxfId="45">
      <pivotArea dataOnly="0" labelOnly="1" fieldPosition="0">
        <references count="1">
          <reference field="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2F6F0F-A781-490B-92CF-39A5B07C0916}" name="Table1" displayName="Table1" ref="B60:E189" totalsRowShown="0" dataCellStyle="Normal 7">
  <autoFilter ref="B60:E189" xr:uid="{E02F6F0F-A781-490B-92CF-39A5B07C0916}"/>
  <sortState xmlns:xlrd2="http://schemas.microsoft.com/office/spreadsheetml/2017/richdata2" ref="B61:E189">
    <sortCondition ref="B61:B189"/>
  </sortState>
  <tableColumns count="4">
    <tableColumn id="1" xr3:uid="{D9819650-EB75-4BD6-BDA6-7B1EE4E76280}" name="trust_name" dataCellStyle="Normal 7"/>
    <tableColumn id="2" xr3:uid="{FFF3D339-D838-4682-8EF6-D3EEBD104C98}" name="trust_code" dataCellStyle="Normal 7"/>
    <tableColumn id="3" xr3:uid="{6F400A8F-2073-4128-A00A-8F9D9DA52E0A}" name="alliance_name" dataCellStyle="Normal 7"/>
    <tableColumn id="4" xr3:uid="{978A521D-E71F-4CAD-9BF7-D554E54111B5}" name="alliance_code" dataDxfId="44"/>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natcan.org.uk/audits/non-hodgkin-lymphoma/" TargetMode="External"/><Relationship Id="rId7" Type="http://schemas.openxmlformats.org/officeDocument/2006/relationships/printerSettings" Target="../printerSettings/printerSettings1.bin"/><Relationship Id="rId2" Type="http://schemas.openxmlformats.org/officeDocument/2006/relationships/hyperlink" Target="https://www.natcan.org.uk/faqs/faqs-for-professionals/" TargetMode="External"/><Relationship Id="rId1" Type="http://schemas.openxmlformats.org/officeDocument/2006/relationships/hyperlink" Target="https://www.natcan.org.uk/" TargetMode="External"/><Relationship Id="rId6" Type="http://schemas.openxmlformats.org/officeDocument/2006/relationships/hyperlink" Target="https://www.natcan.org.uk/audits/non-hodgkin-lymphoma/reports/nnhla-scoping-document/" TargetMode="External"/><Relationship Id="rId5" Type="http://schemas.openxmlformats.org/officeDocument/2006/relationships/hyperlink" Target="https://www.natcan.org.uk/wp-content/uploads/2024/01/NNHLA-Key-COSD-Data-Items-V1.0-December-2023.pdf" TargetMode="External"/><Relationship Id="rId4" Type="http://schemas.openxmlformats.org/officeDocument/2006/relationships/hyperlink" Target="https://digital.nhs.uk/ndrs/data/data-sets/rcr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atcan.org.uk/wp-content/uploads/2024/01/NNHLA-Key-COSD-Data-Items-V1.0-December-2023.pdf" TargetMode="External"/><Relationship Id="rId1" Type="http://schemas.openxmlformats.org/officeDocument/2006/relationships/hyperlink" Target="https://www.natcan.org.uk/faqs/faqs-for-professional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digital.nhs.uk/ndrs/data/data-sets/rcrd"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digital.nhs.uk/ndrs/data/data-sets/cosd/cosd-v9.0-download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digital.nhs.uk/ndrs/data/data-sets/rcrd" TargetMode="External"/><Relationship Id="rId1" Type="http://schemas.openxmlformats.org/officeDocument/2006/relationships/hyperlink" Target="https://digital.nhs.uk/ndrs/data/data-sets/rcrd/rcrd-data-dictionary"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hmrn.org/resources/icdo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H43"/>
  <sheetViews>
    <sheetView showGridLines="0" zoomScale="80" zoomScaleNormal="80" workbookViewId="0">
      <pane ySplit="6" topLeftCell="A8" activePane="bottomLeft" state="frozen"/>
      <selection pane="bottomLeft" activeCell="F13" sqref="F13"/>
    </sheetView>
  </sheetViews>
  <sheetFormatPr defaultRowHeight="14.5" x14ac:dyDescent="0.35"/>
  <cols>
    <col min="1" max="1" width="3.1796875" bestFit="1" customWidth="1"/>
    <col min="2" max="2" width="9.1796875" customWidth="1"/>
    <col min="3" max="3" width="108.81640625" style="5" customWidth="1"/>
  </cols>
  <sheetData>
    <row r="1" spans="1:8" x14ac:dyDescent="0.35">
      <c r="A1" t="s">
        <v>332</v>
      </c>
    </row>
    <row r="8" spans="1:8" ht="43.5" x14ac:dyDescent="0.35">
      <c r="C8" s="53" t="str">
        <f>"The purpose of the "&amp;audit_name_long&amp;" is to evaluate the patterns of care and outcomes for people diagnosed with "&amp;audit_cancer_type&amp;" in England and Wales, and to support services to improve the quality of care for these people. Further information on the NNHLA can be found on our website."</f>
        <v>The purpose of the National Non-Hodgkin Lymphoma Audit (NNHLA) is to evaluate the patterns of care and outcomes for people diagnosed with non-Hodgkin lymphoma in England and Wales, and to support services to improve the quality of care for these people. Further information on the NNHLA can be found on our website.</v>
      </c>
    </row>
    <row r="9" spans="1:8" x14ac:dyDescent="0.35">
      <c r="C9"/>
    </row>
    <row r="10" spans="1:8" ht="43.5" x14ac:dyDescent="0.35">
      <c r="C10" s="53" t="str">
        <f>"The "&amp;audit_name_short&amp;" is part of the National Cancer Audit Collaborating Centre (NATCAN), the home of the ten national cancer audits in England and Wales."&amp;" This national centre of excellence was established to strengthen cancer services by evaluating the process of diagnosis and treatment, and patient outcomes in multiple cancer sites."</f>
        <v>The NNHLA is part of the National Cancer Audit Collaborating Centre (NATCAN), the home of the ten national cancer audits in England and Wales. This national centre of excellence was established to strengthen cancer services by evaluating the process of diagnosis and treatment, and patient outcomes in multiple cancer sites.</v>
      </c>
    </row>
    <row r="12" spans="1:8" ht="60.5" customHeight="1" x14ac:dyDescent="0.35">
      <c r="C12" s="69" t="s">
        <v>773</v>
      </c>
    </row>
    <row r="13" spans="1:8" ht="104.25" customHeight="1" x14ac:dyDescent="0.35">
      <c r="C13" s="146" t="s">
        <v>0</v>
      </c>
    </row>
    <row r="14" spans="1:8" ht="93" customHeight="1" x14ac:dyDescent="0.35">
      <c r="C14" s="137" t="s">
        <v>774</v>
      </c>
      <c r="H14" s="57"/>
    </row>
    <row r="15" spans="1:8" x14ac:dyDescent="0.35">
      <c r="H15" s="57"/>
    </row>
    <row r="16" spans="1:8" ht="58" x14ac:dyDescent="0.35">
      <c r="C16" s="70" t="s">
        <v>745</v>
      </c>
      <c r="H16" s="57"/>
    </row>
    <row r="17" spans="2:3" x14ac:dyDescent="0.35">
      <c r="C17"/>
    </row>
    <row r="18" spans="2:3" ht="58" x14ac:dyDescent="0.35">
      <c r="C18" s="145" t="s">
        <v>779</v>
      </c>
    </row>
    <row r="19" spans="2:3" x14ac:dyDescent="0.35">
      <c r="C19" s="137" t="s">
        <v>780</v>
      </c>
    </row>
    <row r="20" spans="2:3" x14ac:dyDescent="0.35">
      <c r="C20" s="137"/>
    </row>
    <row r="21" spans="2:3" ht="29" x14ac:dyDescent="0.35">
      <c r="C21" s="58" t="str">
        <f>"This "&amp;audit_name_short&amp;" report allocates people diagnosed with NHL to NHS organisations based on the “trust at diagnosis” recorded within the RCRD dataset."</f>
        <v>This NNHLA report allocates people diagnosed with NHL to NHS organisations based on the “trust at diagnosis” recorded within the RCRD dataset.</v>
      </c>
    </row>
    <row r="23" spans="2:3" x14ac:dyDescent="0.35">
      <c r="B23" s="1" t="s">
        <v>357</v>
      </c>
    </row>
    <row r="24" spans="2:3" x14ac:dyDescent="0.35">
      <c r="C24" s="61" t="str">
        <f>HYPERLINK("#Acknowledgements!A1","Acknowledgements")</f>
        <v>Acknowledgements</v>
      </c>
    </row>
    <row r="25" spans="2:3" x14ac:dyDescent="0.35">
      <c r="C25" s="61" t="s">
        <v>370</v>
      </c>
    </row>
    <row r="26" spans="2:3" x14ac:dyDescent="0.35">
      <c r="C26" s="61" t="s">
        <v>390</v>
      </c>
    </row>
    <row r="27" spans="2:3" x14ac:dyDescent="0.35">
      <c r="B27" s="54"/>
      <c r="C27" s="61" t="s">
        <v>341</v>
      </c>
    </row>
    <row r="28" spans="2:3" x14ac:dyDescent="0.35">
      <c r="C28" s="72" t="s">
        <v>342</v>
      </c>
    </row>
    <row r="29" spans="2:3" x14ac:dyDescent="0.35">
      <c r="C29" s="127" t="s">
        <v>722</v>
      </c>
    </row>
    <row r="31" spans="2:3" x14ac:dyDescent="0.35">
      <c r="C31"/>
    </row>
    <row r="32" spans="2:3" x14ac:dyDescent="0.35">
      <c r="C32"/>
    </row>
    <row r="33" spans="2:3" x14ac:dyDescent="0.35">
      <c r="B33" s="52"/>
      <c r="C33" s="52"/>
    </row>
    <row r="34" spans="2:3" x14ac:dyDescent="0.35">
      <c r="B34" s="52"/>
      <c r="C34" s="52"/>
    </row>
    <row r="35" spans="2:3" x14ac:dyDescent="0.35">
      <c r="C35"/>
    </row>
    <row r="36" spans="2:3" x14ac:dyDescent="0.35">
      <c r="C36"/>
    </row>
    <row r="37" spans="2:3" x14ac:dyDescent="0.35">
      <c r="C37"/>
    </row>
    <row r="38" spans="2:3" x14ac:dyDescent="0.35">
      <c r="C38"/>
    </row>
    <row r="43" spans="2:3" x14ac:dyDescent="0.35">
      <c r="C43" s="55"/>
    </row>
  </sheetData>
  <hyperlinks>
    <hyperlink ref="C10" r:id="rId1" display="[Audit name] is part of the National Cancer Audit Collaborating Centre (NATCAN), a national centre of excellence launched on 1st October 2022 to strengthen NHS cancer services by looking at treatments and patient outcomes in multiple cancer types across the country." xr:uid="{98EF9108-3C25-41EB-8D5E-350A2B3979AC}"/>
    <hyperlink ref="C25" location="'Explanatory notes'!A1" display="Explanatory notes" xr:uid="{D7BD212A-D153-4940-B0F9-3AF9B767F9CB}"/>
    <hyperlink ref="C26" location="'Dashboard-pt char'!A1" display="Dashboard-pt char" xr:uid="{23E46CB0-6E39-4EDF-A3A0-84009C53E985}"/>
    <hyperlink ref="C27" location="'Dashboard-COSD'!A1" display="Dashboard-COSD" xr:uid="{BD6DFAFC-09DC-460A-BBCF-F3F0EC145794}"/>
    <hyperlink ref="C12" r:id="rId2" display="This quarterly report presents data completeness and data quality for variables that will be required to develop and report key performance indicators. For future planned activities around key performance indicators, please see our FAQ here. " xr:uid="{270EC86F-EA7E-4EE7-83D5-057E94C81951}"/>
    <hyperlink ref="C16" location="'Explanatory notes'!A1" display="Please note that, at the time of developing this quarterly report, the RCRD and COSD that were made available to NATCAN spanned different time periods and are therefore reported in separate dashboards. Details of the inclusion/exclusion criteria used to define the patient cohort, for which data completeness are reported in each dashboard, are outlined in the explanatory notes found here." xr:uid="{4A1665BE-B581-414E-89EF-1421ECC20015}"/>
    <hyperlink ref="C28" location="'Dashboard-RCRD'!A1" display="Dashboard-RCRD" xr:uid="{8FCC2D34-5958-4CC2-8711-6C1D61FF7B07}"/>
    <hyperlink ref="C29" location="'ICD codes'!A1" display="ICD codes" xr:uid="{EA4D73E3-0913-4B14-9A55-F00C1A5C564F}"/>
    <hyperlink ref="C8" r:id="rId3" display="http://www.natcan.org.uk/audits/non-hodgkin-lymphoma/" xr:uid="{D2F24350-1FBF-4F73-9B47-F792E84DA5FE}"/>
    <hyperlink ref="C14" r:id="rId4" display="This quarterly report utilises data from the Rapid Cancer Registration Dataset (RCRD) and Cancer Outcomes Services Dataset (COSD). RCRD is made available more quickly than the complete cancer registration dataset. While RCRD is compiled mainly from COSD records, the speed of production means that the range of data items is limited and several standard data items in the complete registration dataset are unavailable. We therefore also report data completeness for a few select items from the COSD that are not reported in the RCRD, but that will be required to develop and report key performance indicators. Further information on RCRD can be found here." xr:uid="{576FD59D-6ABE-4EBA-9183-A66BB4C6BFDC}"/>
    <hyperlink ref="C18" r:id="rId5" display="The audit cohort was selected based on ICD-10 codes C82-C86 or C88 (Follicular and Non-follicular lymphoma, Mature T/NK-cell lymphomas, Malignant immunoproliferative diseases, Other and unspecified types of non-Hodgkin lymphoma) or ICD-10 code C91 in combination with any of the eligible ICD-O-3 codes listed on the ICD codes sheet (Chronic lymphocytic leukaemia of B-cell type). Diagnoses based on death certificate only were excluded." xr:uid="{7E407569-F5A3-4DAA-946F-7E70D6C40F36}"/>
    <hyperlink ref="C19" r:id="rId6" display=" Please refer to the NNHLA Scoping Document for more details." xr:uid="{2DA41522-F165-42B9-BD22-608C5E20A1C9}"/>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21"/>
  <sheetViews>
    <sheetView showGridLines="0" zoomScale="80" zoomScaleNormal="80" workbookViewId="0">
      <pane ySplit="6" topLeftCell="A7" activePane="bottomLeft" state="frozen"/>
      <selection pane="bottomLeft" activeCell="K12" sqref="K12"/>
    </sheetView>
  </sheetViews>
  <sheetFormatPr defaultRowHeight="14.5" x14ac:dyDescent="0.35"/>
  <cols>
    <col min="1" max="1" width="3.1796875" bestFit="1" customWidth="1"/>
    <col min="3" max="3" width="108.81640625" customWidth="1"/>
  </cols>
  <sheetData>
    <row r="1" spans="1:3" x14ac:dyDescent="0.35">
      <c r="A1" t="s">
        <v>332</v>
      </c>
    </row>
    <row r="7" spans="1:3" ht="10" customHeight="1" x14ac:dyDescent="0.35"/>
    <row r="8" spans="1:3" ht="146.5" customHeight="1" x14ac:dyDescent="0.35">
      <c r="C8" s="59" t="s">
        <v>389</v>
      </c>
    </row>
    <row r="9" spans="1:3" x14ac:dyDescent="0.35">
      <c r="C9" s="59"/>
    </row>
    <row r="10" spans="1:3" x14ac:dyDescent="0.35">
      <c r="C10" s="1" t="s">
        <v>383</v>
      </c>
    </row>
    <row r="11" spans="1:3" ht="29" x14ac:dyDescent="0.35">
      <c r="C11" s="58" t="str">
        <f>audit_name_long&amp;": Quarterly Report "&amp;publication_quarter&amp;". London: Royal College of Surgeons of England, "&amp;publication_year&amp;"."</f>
        <v>National Non-Hodgkin Lymphoma Audit (NNHLA): Quarterly Report Q2 2024. London: Royal College of Surgeons of England, 2024.</v>
      </c>
    </row>
    <row r="12" spans="1:3" x14ac:dyDescent="0.35">
      <c r="C12" s="71" t="s">
        <v>382</v>
      </c>
    </row>
    <row r="13" spans="1:3" ht="58" x14ac:dyDescent="0.35">
      <c r="C13" s="58" t="s">
        <v>368</v>
      </c>
    </row>
    <row r="15" spans="1:3" ht="43.5" x14ac:dyDescent="0.35">
      <c r="C15" s="5" t="s">
        <v>13</v>
      </c>
    </row>
    <row r="17" spans="3:3" ht="58" x14ac:dyDescent="0.35">
      <c r="C17" s="5" t="s">
        <v>340</v>
      </c>
    </row>
    <row r="19" spans="3:3" ht="145" x14ac:dyDescent="0.35">
      <c r="C19" s="5" t="s">
        <v>14</v>
      </c>
    </row>
    <row r="21" spans="3:3" ht="59.25" customHeight="1" x14ac:dyDescent="0.35">
      <c r="C21" s="5" t="s">
        <v>331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7FFC-A7FC-40FA-94F9-E729D96BC49D}">
  <sheetPr>
    <pageSetUpPr autoPageBreaks="0"/>
  </sheetPr>
  <dimension ref="A1:D84"/>
  <sheetViews>
    <sheetView showGridLines="0" zoomScale="80" zoomScaleNormal="80" workbookViewId="0">
      <pane ySplit="6" topLeftCell="A44" activePane="bottomLeft" state="frozen"/>
      <selection pane="bottomLeft"/>
    </sheetView>
  </sheetViews>
  <sheetFormatPr defaultRowHeight="14.5" x14ac:dyDescent="0.35"/>
  <cols>
    <col min="1" max="1" width="3.1796875" bestFit="1" customWidth="1"/>
    <col min="2" max="2" width="3.1796875" customWidth="1"/>
    <col min="3" max="3" width="13.54296875" customWidth="1"/>
    <col min="4" max="4" width="108.81640625" style="5" customWidth="1"/>
  </cols>
  <sheetData>
    <row r="1" spans="1:4" x14ac:dyDescent="0.35">
      <c r="A1" t="s">
        <v>332</v>
      </c>
    </row>
    <row r="8" spans="1:4" x14ac:dyDescent="0.35">
      <c r="B8" s="54" t="s">
        <v>336</v>
      </c>
      <c r="D8" s="53"/>
    </row>
    <row r="9" spans="1:4" x14ac:dyDescent="0.35">
      <c r="B9" s="54"/>
      <c r="D9" s="53"/>
    </row>
    <row r="10" spans="1:4" ht="46.5" customHeight="1" x14ac:dyDescent="0.35">
      <c r="B10" s="1"/>
      <c r="C10" s="150" t="s">
        <v>747</v>
      </c>
      <c r="D10" s="150"/>
    </row>
    <row r="11" spans="1:4" x14ac:dyDescent="0.35">
      <c r="B11" s="1"/>
      <c r="C11" s="84"/>
      <c r="D11" s="84"/>
    </row>
    <row r="12" spans="1:4" x14ac:dyDescent="0.35">
      <c r="B12" s="1"/>
      <c r="C12" s="13" t="s">
        <v>19</v>
      </c>
      <c r="D12" s="80" t="s">
        <v>366</v>
      </c>
    </row>
    <row r="13" spans="1:4" x14ac:dyDescent="0.35">
      <c r="B13" s="1"/>
      <c r="C13" s="13" t="s">
        <v>759</v>
      </c>
      <c r="D13" s="81" t="str">
        <f>start_date_rcrd&amp;" to "&amp;end_date_rcrd</f>
        <v>Q4 2022 to Q3 2023</v>
      </c>
    </row>
    <row r="14" spans="1:4" x14ac:dyDescent="0.35">
      <c r="B14" s="1"/>
      <c r="C14" s="13" t="s">
        <v>364</v>
      </c>
      <c r="D14" s="80" t="s">
        <v>365</v>
      </c>
    </row>
    <row r="15" spans="1:4" ht="43.5" x14ac:dyDescent="0.35">
      <c r="B15" s="1"/>
      <c r="C15" s="82" t="s">
        <v>746</v>
      </c>
      <c r="D15" s="128" t="s">
        <v>734</v>
      </c>
    </row>
    <row r="16" spans="1:4" ht="17" customHeight="1" x14ac:dyDescent="0.35">
      <c r="C16" t="str">
        <f>"*"&amp;quarter_definitions</f>
        <v>*Q1: 1 January – 31 March; Q2: 1 April – 30 June; Q3: 1 July – 30 September; Q4: 1 October – 31 December</v>
      </c>
      <c r="D16" s="53"/>
    </row>
    <row r="18" spans="2:4" x14ac:dyDescent="0.35">
      <c r="B18" s="54" t="s">
        <v>335</v>
      </c>
      <c r="D18" s="56"/>
    </row>
    <row r="19" spans="2:4" x14ac:dyDescent="0.35">
      <c r="B19" s="54"/>
      <c r="D19" s="56"/>
    </row>
    <row r="20" spans="2:4" ht="43.5" customHeight="1" x14ac:dyDescent="0.35">
      <c r="C20" s="149" t="s">
        <v>778</v>
      </c>
      <c r="D20" s="149"/>
    </row>
    <row r="21" spans="2:4" x14ac:dyDescent="0.35">
      <c r="C21" s="83"/>
      <c r="D21" s="83"/>
    </row>
    <row r="22" spans="2:4" x14ac:dyDescent="0.35">
      <c r="C22" s="13" t="s">
        <v>19</v>
      </c>
      <c r="D22" s="80" t="s">
        <v>775</v>
      </c>
    </row>
    <row r="23" spans="2:4" x14ac:dyDescent="0.35">
      <c r="C23" s="13" t="s">
        <v>759</v>
      </c>
      <c r="D23" s="81" t="str">
        <f>start_date_cosd&amp;" to "&amp;end_date_cosd</f>
        <v>Q3 2021 to Q2 2022</v>
      </c>
    </row>
    <row r="24" spans="2:4" x14ac:dyDescent="0.35">
      <c r="C24" s="13" t="s">
        <v>364</v>
      </c>
      <c r="D24" s="80" t="s">
        <v>365</v>
      </c>
    </row>
    <row r="25" spans="2:4" ht="43.5" x14ac:dyDescent="0.35">
      <c r="C25" s="82" t="s">
        <v>746</v>
      </c>
      <c r="D25" s="128" t="s">
        <v>734</v>
      </c>
    </row>
    <row r="26" spans="2:4" ht="22" customHeight="1" x14ac:dyDescent="0.35">
      <c r="C26" t="str">
        <f>"*"&amp;quarter_definitions</f>
        <v>*Q1: 1 January – 31 March; Q2: 1 April – 30 June; Q3: 1 July – 30 September; Q4: 1 October – 31 December</v>
      </c>
      <c r="D26" s="53"/>
    </row>
    <row r="27" spans="2:4" x14ac:dyDescent="0.35">
      <c r="D27" s="53"/>
    </row>
    <row r="28" spans="2:4" x14ac:dyDescent="0.35">
      <c r="B28" s="54" t="s">
        <v>337</v>
      </c>
      <c r="D28" s="53"/>
    </row>
    <row r="29" spans="2:4" x14ac:dyDescent="0.35">
      <c r="B29" s="54"/>
      <c r="D29" s="53"/>
    </row>
    <row r="30" spans="2:4" ht="45" customHeight="1" x14ac:dyDescent="0.35">
      <c r="B30" s="1"/>
      <c r="C30" s="150" t="s">
        <v>748</v>
      </c>
      <c r="D30" s="150"/>
    </row>
    <row r="31" spans="2:4" x14ac:dyDescent="0.35">
      <c r="B31" s="1"/>
      <c r="C31" s="84"/>
      <c r="D31" s="84"/>
    </row>
    <row r="32" spans="2:4" x14ac:dyDescent="0.35">
      <c r="B32" s="1"/>
      <c r="C32" s="13" t="s">
        <v>19</v>
      </c>
      <c r="D32" s="80" t="s">
        <v>366</v>
      </c>
    </row>
    <row r="33" spans="2:4" x14ac:dyDescent="0.35">
      <c r="B33" s="1"/>
      <c r="C33" s="13" t="s">
        <v>759</v>
      </c>
      <c r="D33" s="81" t="str">
        <f>start_date_ptc&amp;" to "&amp;end_date_ptc</f>
        <v>Q4 2021 to Q3 2023</v>
      </c>
    </row>
    <row r="34" spans="2:4" x14ac:dyDescent="0.35">
      <c r="B34" s="1"/>
      <c r="C34" s="13" t="s">
        <v>364</v>
      </c>
      <c r="D34" s="80" t="s">
        <v>365</v>
      </c>
    </row>
    <row r="35" spans="2:4" ht="43.5" x14ac:dyDescent="0.35">
      <c r="B35" s="1"/>
      <c r="C35" s="82" t="s">
        <v>746</v>
      </c>
      <c r="D35" s="128" t="s">
        <v>734</v>
      </c>
    </row>
    <row r="36" spans="2:4" x14ac:dyDescent="0.35">
      <c r="B36" s="1"/>
      <c r="C36" t="str">
        <f>"*"&amp;quarter_definitions</f>
        <v>*Q1: 1 January – 31 March; Q2: 1 April – 30 June; Q3: 1 July – 30 September; Q4: 1 October – 31 December</v>
      </c>
      <c r="D36" s="53"/>
    </row>
    <row r="37" spans="2:4" x14ac:dyDescent="0.35">
      <c r="B37" s="1"/>
      <c r="D37" s="53"/>
    </row>
    <row r="38" spans="2:4" x14ac:dyDescent="0.35">
      <c r="B38" s="54" t="s">
        <v>381</v>
      </c>
      <c r="D38" s="53"/>
    </row>
    <row r="39" spans="2:4" x14ac:dyDescent="0.35">
      <c r="B39" s="54"/>
      <c r="D39" s="53"/>
    </row>
    <row r="40" spans="2:4" ht="62.25" customHeight="1" x14ac:dyDescent="0.35">
      <c r="B40" s="1"/>
      <c r="C40" s="151" t="s">
        <v>749</v>
      </c>
      <c r="D40" s="151"/>
    </row>
    <row r="41" spans="2:4" x14ac:dyDescent="0.35">
      <c r="B41" s="1"/>
    </row>
    <row r="42" spans="2:4" x14ac:dyDescent="0.35">
      <c r="B42" s="54" t="s">
        <v>732</v>
      </c>
    </row>
    <row r="43" spans="2:4" x14ac:dyDescent="0.35">
      <c r="B43" s="54"/>
    </row>
    <row r="44" spans="2:4" ht="138" customHeight="1" x14ac:dyDescent="0.35">
      <c r="C44" s="148" t="s">
        <v>750</v>
      </c>
      <c r="D44" s="148"/>
    </row>
    <row r="45" spans="2:4" x14ac:dyDescent="0.35">
      <c r="C45" s="102"/>
      <c r="D45" s="102"/>
    </row>
    <row r="46" spans="2:4" x14ac:dyDescent="0.35">
      <c r="B46" s="54" t="s">
        <v>739</v>
      </c>
    </row>
    <row r="48" spans="2:4" x14ac:dyDescent="0.35">
      <c r="C48" s="10"/>
      <c r="D48" s="5" t="s">
        <v>1</v>
      </c>
    </row>
    <row r="50" spans="2:4" x14ac:dyDescent="0.35">
      <c r="B50" s="54" t="s">
        <v>740</v>
      </c>
    </row>
    <row r="52" spans="2:4" ht="15" thickBot="1" x14ac:dyDescent="0.4">
      <c r="C52" s="60" t="s">
        <v>2</v>
      </c>
      <c r="D52" s="60" t="s">
        <v>3</v>
      </c>
    </row>
    <row r="53" spans="2:4" x14ac:dyDescent="0.35">
      <c r="C53" t="s">
        <v>343</v>
      </c>
      <c r="D53" t="s">
        <v>347</v>
      </c>
    </row>
    <row r="54" spans="2:4" x14ac:dyDescent="0.35">
      <c r="C54" t="s">
        <v>603</v>
      </c>
      <c r="D54" t="s">
        <v>374</v>
      </c>
    </row>
    <row r="55" spans="2:4" x14ac:dyDescent="0.35">
      <c r="C55" t="s">
        <v>338</v>
      </c>
      <c r="D55" t="s">
        <v>775</v>
      </c>
    </row>
    <row r="56" spans="2:4" x14ac:dyDescent="0.35">
      <c r="C56" t="s">
        <v>597</v>
      </c>
      <c r="D56" t="s">
        <v>596</v>
      </c>
    </row>
    <row r="57" spans="2:4" x14ac:dyDescent="0.35">
      <c r="C57" t="s">
        <v>344</v>
      </c>
      <c r="D57" t="s">
        <v>346</v>
      </c>
    </row>
    <row r="58" spans="2:4" x14ac:dyDescent="0.35">
      <c r="C58" t="s">
        <v>683</v>
      </c>
      <c r="D58" t="s">
        <v>684</v>
      </c>
    </row>
    <row r="59" spans="2:4" x14ac:dyDescent="0.35">
      <c r="C59" t="s">
        <v>721</v>
      </c>
      <c r="D59" t="s">
        <v>685</v>
      </c>
    </row>
    <row r="60" spans="2:4" x14ac:dyDescent="0.35">
      <c r="C60" t="s">
        <v>4</v>
      </c>
      <c r="D60" t="s">
        <v>5</v>
      </c>
    </row>
    <row r="61" spans="2:4" x14ac:dyDescent="0.35">
      <c r="C61" t="s">
        <v>345</v>
      </c>
      <c r="D61" t="s">
        <v>348</v>
      </c>
    </row>
    <row r="62" spans="2:4" x14ac:dyDescent="0.35">
      <c r="C62" t="s">
        <v>350</v>
      </c>
      <c r="D62" t="s">
        <v>349</v>
      </c>
    </row>
    <row r="63" spans="2:4" x14ac:dyDescent="0.35">
      <c r="C63" t="s">
        <v>356</v>
      </c>
      <c r="D63" t="s">
        <v>355</v>
      </c>
    </row>
    <row r="64" spans="2:4" x14ac:dyDescent="0.35">
      <c r="C64" t="s">
        <v>354</v>
      </c>
      <c r="D64" t="s">
        <v>353</v>
      </c>
    </row>
    <row r="65" spans="2:4" x14ac:dyDescent="0.35">
      <c r="C65" t="s">
        <v>351</v>
      </c>
      <c r="D65" t="s">
        <v>352</v>
      </c>
    </row>
    <row r="66" spans="2:4" x14ac:dyDescent="0.35">
      <c r="C66" t="s">
        <v>333</v>
      </c>
      <c r="D66" t="s">
        <v>334</v>
      </c>
    </row>
    <row r="67" spans="2:4" x14ac:dyDescent="0.35">
      <c r="C67" t="s">
        <v>6</v>
      </c>
      <c r="D67" t="s">
        <v>7</v>
      </c>
    </row>
    <row r="68" spans="2:4" x14ac:dyDescent="0.35">
      <c r="C68" t="s">
        <v>8</v>
      </c>
      <c r="D68" t="s">
        <v>9</v>
      </c>
    </row>
    <row r="69" spans="2:4" x14ac:dyDescent="0.35">
      <c r="C69" t="s">
        <v>599</v>
      </c>
      <c r="D69" t="s">
        <v>598</v>
      </c>
    </row>
    <row r="70" spans="2:4" ht="15" thickBot="1" x14ac:dyDescent="0.4">
      <c r="C70" s="6" t="s">
        <v>10</v>
      </c>
      <c r="D70" s="6" t="s">
        <v>11</v>
      </c>
    </row>
    <row r="72" spans="2:4" x14ac:dyDescent="0.35">
      <c r="B72" s="54" t="s">
        <v>735</v>
      </c>
    </row>
    <row r="73" spans="2:4" x14ac:dyDescent="0.35">
      <c r="B73" s="54"/>
    </row>
    <row r="74" spans="2:4" ht="33" customHeight="1" x14ac:dyDescent="0.35">
      <c r="C74" s="152" t="s">
        <v>776</v>
      </c>
      <c r="D74" s="152"/>
    </row>
    <row r="76" spans="2:4" x14ac:dyDescent="0.35">
      <c r="C76" s="153" t="s">
        <v>12</v>
      </c>
      <c r="D76" s="153"/>
    </row>
    <row r="78" spans="2:4" x14ac:dyDescent="0.35">
      <c r="C78" s="147" t="s">
        <v>339</v>
      </c>
      <c r="D78" s="147"/>
    </row>
    <row r="79" spans="2:4" x14ac:dyDescent="0.35">
      <c r="D79"/>
    </row>
    <row r="84" spans="4:4" x14ac:dyDescent="0.35">
      <c r="D84" s="53"/>
    </row>
  </sheetData>
  <sortState xmlns:xlrd2="http://schemas.microsoft.com/office/spreadsheetml/2017/richdata2" ref="C53:D70">
    <sortCondition ref="C53:C70"/>
  </sortState>
  <mergeCells count="8">
    <mergeCell ref="C78:D78"/>
    <mergeCell ref="C44:D44"/>
    <mergeCell ref="C20:D20"/>
    <mergeCell ref="C10:D10"/>
    <mergeCell ref="C30:D30"/>
    <mergeCell ref="C40:D40"/>
    <mergeCell ref="C74:D74"/>
    <mergeCell ref="C76:D76"/>
  </mergeCells>
  <hyperlinks>
    <hyperlink ref="C76" r:id="rId1" display="Refer to FAQ11 for current regional NDRS contacts." xr:uid="{5D883B50-5CCC-43B5-8A56-DB1A87A86EF9}"/>
    <hyperlink ref="C78" r:id="rId2" display="The key COSD data requirements for the NNHLA are available here.[ADD hyperlink]" xr:uid="{4E8B92AD-3E6F-420B-BF96-873D8A26A836}"/>
    <hyperlink ref="C44:D44" location="'ICD codes'!A1" display="The RCRD only includes 3-character ICD-10 codes and therefore the inclusion into this report uses a combination of ICD-10 and ICD-O-3 codes.  Patients have been included in our report if they have an ICD-10 code of C82-C86 or C88. Some, but not all, patients with an ICD-10 code of C91 fall within the scope of the NNHLA. Therefore, patients with C91 are included only if they also have an ICD-O3 code from the subtype code listed in the worksheet called “ICD codes”. Specifically, the ICD-10 classification for chronic lymphocytic leukaemia (CLL) is C91.1. Rather than including all ICD-10 C91 diagnoses in this report (and inadvertently including patients without NHL), ICD-O-3 codes are used to capture people diagnosed with CLL. However, ICD-O-3 data is incomplete and patients with CLL with missing ICD-O-3 will therefore not be captured. Please refer to the worksheet called &quot;ICD codes&quot; for further information on ICD codes used to identify people diagnosed with NHL and included in this quarterly report. " xr:uid="{67A1428A-F3B7-4863-88EB-7A04EE6871C2}"/>
    <hyperlink ref="D25" location="methods_icd" display="Aged 18 years and over who received care provided by the National Health Service in England and have a diagnosis of NHL, as documented by International Classification of Diseases codes. Please see the METHODS note below for further detail on International Classification of Diseases codes used." xr:uid="{2F1EBE1A-4C62-494C-B8B3-96671CCB171A}"/>
    <hyperlink ref="D15" location="methods_icd" display="Aged 18 years and over who received care provided by the National Health Service in England and have a diagnosis of NHL, as documented by International Classification of Diseases codes. Please see the METHODS note below for further detail on International Classification of Diseases codes used." xr:uid="{69045CDC-24C0-464B-B517-197B916F4FCC}"/>
    <hyperlink ref="D35" location="methods_icd" display="Aged 18 years and over who received care provided by the National Health Service in England and have a diagnosis of NHL, as documented by International Classification of Diseases codes. Please see the METHODS note below for further detail on International Classification of Diseases codes used." xr:uid="{646341ED-C948-464C-A233-9A406A0C55C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918B-3DC7-4405-91AB-D247D0674766}">
  <sheetPr>
    <pageSetUpPr fitToPage="1"/>
  </sheetPr>
  <dimension ref="A1:O67"/>
  <sheetViews>
    <sheetView showGridLines="0" zoomScale="80" zoomScaleNormal="80" zoomScaleSheetLayoutView="80" workbookViewId="0">
      <pane ySplit="7" topLeftCell="A8" activePane="bottomLeft" state="frozen"/>
      <selection pane="bottomLeft" activeCell="K25" sqref="K25"/>
    </sheetView>
  </sheetViews>
  <sheetFormatPr defaultRowHeight="14.5" x14ac:dyDescent="0.35"/>
  <cols>
    <col min="1" max="1" width="3.1796875" bestFit="1" customWidth="1"/>
    <col min="2" max="2" width="3.54296875" customWidth="1"/>
    <col min="3" max="3" width="33.81640625" customWidth="1"/>
    <col min="4" max="4" width="20.453125" customWidth="1"/>
    <col min="5" max="5" width="20.1796875" bestFit="1" customWidth="1"/>
    <col min="6" max="6" width="19.26953125" bestFit="1" customWidth="1"/>
    <col min="7" max="7" width="19.1796875" customWidth="1"/>
    <col min="8" max="8" width="7.54296875" customWidth="1"/>
    <col min="9" max="9" width="5.54296875" bestFit="1" customWidth="1"/>
    <col min="10" max="10" width="8.453125" bestFit="1" customWidth="1"/>
    <col min="11" max="11" width="17.453125" bestFit="1" customWidth="1"/>
    <col min="12" max="12" width="16.54296875" customWidth="1"/>
    <col min="13" max="13" width="23.7265625" customWidth="1"/>
    <col min="14" max="14" width="19.26953125" bestFit="1" customWidth="1"/>
    <col min="15" max="15" width="18.1796875" bestFit="1" customWidth="1"/>
    <col min="16" max="16" width="19.26953125" bestFit="1" customWidth="1"/>
  </cols>
  <sheetData>
    <row r="1" spans="1:6" x14ac:dyDescent="0.35">
      <c r="A1" t="s">
        <v>332</v>
      </c>
    </row>
    <row r="6" spans="1:6" ht="15.75" customHeight="1" x14ac:dyDescent="0.35">
      <c r="F6" s="37"/>
    </row>
    <row r="8" spans="1:6" x14ac:dyDescent="0.35">
      <c r="B8" s="1" t="s">
        <v>17</v>
      </c>
      <c r="E8" s="2"/>
    </row>
    <row r="9" spans="1:6" ht="15" customHeight="1" thickBot="1" x14ac:dyDescent="0.4">
      <c r="E9" s="2"/>
    </row>
    <row r="10" spans="1:6" ht="15" customHeight="1" thickBot="1" x14ac:dyDescent="0.4">
      <c r="C10" s="154" t="s">
        <v>31</v>
      </c>
      <c r="D10" s="155"/>
      <c r="E10" s="155"/>
      <c r="F10" s="156"/>
    </row>
    <row r="12" spans="1:6" ht="15" customHeight="1" x14ac:dyDescent="0.35">
      <c r="C12" s="9" t="str">
        <f ca="1">"This selected Trust is within the "&amp;selected_trust_ptc_ca_name&amp;" Cancer Alliance"</f>
        <v>This selected Trust is within the West Yorkshire and Harrogate Cancer Alliance</v>
      </c>
    </row>
    <row r="13" spans="1:6" ht="15" customHeight="1" x14ac:dyDescent="0.35">
      <c r="C13" s="9"/>
    </row>
    <row r="14" spans="1:6" ht="15" customHeight="1" x14ac:dyDescent="0.35">
      <c r="B14" s="9"/>
      <c r="C14" s="1" t="s">
        <v>754</v>
      </c>
      <c r="F14" t="str">
        <f>start_date_ptc&amp;" to "&amp;end_date_ptc</f>
        <v>Q4 2021 to Q3 2023</v>
      </c>
    </row>
    <row r="15" spans="1:6" ht="15" customHeight="1" x14ac:dyDescent="0.35">
      <c r="B15" s="9"/>
      <c r="C15" t="str">
        <f>"("&amp;quarter_definitions&amp;")"</f>
        <v>(Q1: 1 January – 31 March; Q2: 1 April – 30 June; Q3: 1 July – 30 September; Q4: 1 October – 31 December)</v>
      </c>
    </row>
    <row r="16" spans="1:6" ht="15" customHeight="1" x14ac:dyDescent="0.35">
      <c r="B16" s="9"/>
      <c r="C16" s="1"/>
    </row>
    <row r="17" spans="2:9" ht="15" customHeight="1" x14ac:dyDescent="0.35">
      <c r="B17" s="9"/>
      <c r="C17" s="139" t="s">
        <v>742</v>
      </c>
      <c r="E17" s="32"/>
      <c r="F17" s="32"/>
    </row>
    <row r="18" spans="2:9" ht="15" customHeight="1" x14ac:dyDescent="0.35">
      <c r="B18" s="9"/>
      <c r="C18" s="159" t="s">
        <v>760</v>
      </c>
      <c r="D18" s="159"/>
      <c r="E18" s="32"/>
      <c r="F18" s="32"/>
    </row>
    <row r="19" spans="2:9" x14ac:dyDescent="0.35">
      <c r="E19" s="2"/>
    </row>
    <row r="20" spans="2:9" ht="15" customHeight="1" x14ac:dyDescent="0.35">
      <c r="B20" s="50" t="str">
        <f>"Table 5:  Characteristics of people diagnosed with "&amp;audit_cancer_type&amp;" in England between "&amp;start_date_ptc&amp;" and "&amp;end_date_ptc</f>
        <v>Table 5:  Characteristics of people diagnosed with non-Hodgkin lymphoma in England between Q4 2021 and Q3 2023</v>
      </c>
      <c r="C20" s="50"/>
      <c r="D20" s="50"/>
      <c r="E20" s="50"/>
      <c r="F20" s="50"/>
      <c r="G20" s="50"/>
      <c r="H20" s="2"/>
    </row>
    <row r="21" spans="2:9" x14ac:dyDescent="0.35">
      <c r="H21" s="2"/>
      <c r="I21" t="s">
        <v>32</v>
      </c>
    </row>
    <row r="22" spans="2:9" ht="15" customHeight="1" x14ac:dyDescent="0.35">
      <c r="C22" s="157" t="s">
        <v>755</v>
      </c>
      <c r="D22" s="19" t="s">
        <v>33</v>
      </c>
      <c r="E22" s="19" t="s">
        <v>34</v>
      </c>
      <c r="F22" s="21" t="s">
        <v>35</v>
      </c>
    </row>
    <row r="23" spans="2:9" ht="30" customHeight="1" x14ac:dyDescent="0.35">
      <c r="C23" s="158"/>
      <c r="D23" s="20" t="s">
        <v>546</v>
      </c>
      <c r="E23" s="20" t="s">
        <v>546</v>
      </c>
      <c r="F23" s="27" t="s">
        <v>546</v>
      </c>
    </row>
    <row r="24" spans="2:9" x14ac:dyDescent="0.35">
      <c r="C24" s="24" t="s">
        <v>377</v>
      </c>
      <c r="D24" s="110"/>
      <c r="E24" s="110"/>
      <c r="F24" s="111"/>
    </row>
    <row r="25" spans="2:9" x14ac:dyDescent="0.35">
      <c r="C25" s="25" t="s">
        <v>384</v>
      </c>
      <c r="D25" s="110">
        <f ca="1">INDEX(INDIRECT(trust_ptc_table),MATCH(selected_trust_ptc,INDIRECT(trust_ptc_rows),0),MATCH("p_age_18_59",INDIRECT(trust_ptc_cols),0))</f>
        <v>18</v>
      </c>
      <c r="E25" s="110" cm="1">
        <f t="array" aca="1" ref="E25" ca="1">INDEX(INDIRECT(alliance_ptc_table),MATCH(selected_trust_ptc_ca_name,INDIRECT(alliance_ptc_rows),0),MATCH("p_age_18_59",INDIRECT(alliance_ptc_cols),0))</f>
        <v>22</v>
      </c>
      <c r="F25" s="112" cm="1">
        <f t="array" aca="1" ref="F25" ca="1">INDEX(INDIRECT(national_ptc_row),1,MATCH("p_age_18_59",INDIRECT(national_ptc_cols),0))</f>
        <v>23</v>
      </c>
    </row>
    <row r="26" spans="2:9" x14ac:dyDescent="0.35">
      <c r="C26" s="25" t="s">
        <v>385</v>
      </c>
      <c r="D26" s="110">
        <f ca="1">INDEX(INDIRECT(trust_ptc_table),MATCH(selected_trust_ptc,INDIRECT(trust_ptc_rows),0),MATCH("p_age_60_69",INDIRECT(trust_ptc_cols),0))</f>
        <v>29</v>
      </c>
      <c r="E26" s="110" cm="1">
        <f t="array" aca="1" ref="E26" ca="1">INDEX(INDIRECT(alliance_ptc_table),MATCH(selected_trust_ptc_ca_name,INDIRECT(alliance_ptc_rows),0),MATCH("p_age_60_69",INDIRECT(alliance_ptc_cols),0))</f>
        <v>26</v>
      </c>
      <c r="F26" s="112">
        <f ca="1">INDEX(INDIRECT(national_ptc_row),1,MATCH("p_age_60_69",INDIRECT(national_ptc_cols),0))</f>
        <v>23</v>
      </c>
    </row>
    <row r="27" spans="2:9" x14ac:dyDescent="0.35">
      <c r="C27" s="25" t="s">
        <v>386</v>
      </c>
      <c r="D27" s="110">
        <f ca="1">INDEX(INDIRECT(trust_ptc_table),MATCH(selected_trust_ptc,INDIRECT(trust_ptc_rows),0),MATCH("p_age_70_79",INDIRECT(trust_ptc_cols),0))</f>
        <v>31</v>
      </c>
      <c r="E27" s="110" cm="1">
        <f t="array" aca="1" ref="E27" ca="1">INDEX(INDIRECT(alliance_ptc_table),MATCH(selected_trust_ptc_ca_name,INDIRECT(alliance_ptc_rows),0),MATCH("p_age_70_79",INDIRECT(alliance_ptc_cols),0))</f>
        <v>31</v>
      </c>
      <c r="F27" s="112">
        <f ca="1">INDEX(INDIRECT(national_ptc_row),1,MATCH("p_age_70_79",INDIRECT(national_ptc_cols),0))</f>
        <v>33</v>
      </c>
    </row>
    <row r="28" spans="2:9" x14ac:dyDescent="0.35">
      <c r="C28" s="26" t="s">
        <v>387</v>
      </c>
      <c r="D28" s="113">
        <f ca="1">INDEX(INDIRECT(trust_ptc_table),MATCH(selected_trust_ptc,INDIRECT(trust_ptc_rows),0),MATCH("p_age_80_plus",INDIRECT(trust_ptc_cols),0))</f>
        <v>22</v>
      </c>
      <c r="E28" s="113" cm="1">
        <f t="array" aca="1" ref="E28" ca="1">INDEX(INDIRECT(alliance_ptc_table),MATCH(selected_trust_ptc_ca_name,INDIRECT(alliance_ptc_rows),0),MATCH("p_age_80_plus",INDIRECT(alliance_ptc_cols),0))</f>
        <v>21</v>
      </c>
      <c r="F28" s="114">
        <f ca="1">INDEX(INDIRECT(national_ptc_row),1,MATCH("p_age_80_plus",INDIRECT(national_ptc_cols),0))</f>
        <v>22</v>
      </c>
    </row>
    <row r="29" spans="2:9" x14ac:dyDescent="0.35">
      <c r="C29" s="66" t="s">
        <v>378</v>
      </c>
      <c r="D29" s="110"/>
      <c r="E29" s="110"/>
      <c r="F29" s="111"/>
    </row>
    <row r="30" spans="2:9" x14ac:dyDescent="0.35">
      <c r="C30" s="25" t="s">
        <v>380</v>
      </c>
      <c r="D30" s="110">
        <f ca="1">INDEX(INDIRECT(trust_ptc_table),MATCH(selected_trust_ptc,INDIRECT(trust_ptc_rows),0),MATCH("p_Female",INDIRECT(trust_ptc_cols),0))</f>
        <v>36</v>
      </c>
      <c r="E30" s="110" cm="1">
        <f t="array" aca="1" ref="E30" ca="1">INDEX(INDIRECT(alliance_ptc_table),MATCH(selected_trust_ptc_ca_name,INDIRECT(alliance_ptc_rows),0),MATCH("p_Female",INDIRECT(alliance_ptc_cols),0))</f>
        <v>42</v>
      </c>
      <c r="F30" s="112">
        <f ca="1">INDEX(INDIRECT(national_ptc_row),1,MATCH("p_Female",INDIRECT(national_ptc_cols),0))</f>
        <v>43</v>
      </c>
    </row>
    <row r="31" spans="2:9" x14ac:dyDescent="0.35">
      <c r="C31" s="25" t="s">
        <v>379</v>
      </c>
      <c r="D31" s="110">
        <f ca="1">INDEX(INDIRECT(trust_ptc_table),MATCH(selected_trust_ptc,INDIRECT(trust_ptc_rows),0),MATCH("p_Male",INDIRECT(trust_ptc_cols),0))</f>
        <v>64</v>
      </c>
      <c r="E31" s="110" cm="1">
        <f t="array" aca="1" ref="E31" ca="1">INDEX(INDIRECT(alliance_ptc_table),MATCH(selected_trust_ptc_ca_name,INDIRECT(alliance_ptc_rows),0),MATCH("p_Male",INDIRECT(alliance_ptc_cols),0))</f>
        <v>58</v>
      </c>
      <c r="F31" s="112">
        <f ca="1">INDEX(INDIRECT(national_ptc_row),1,MATCH("p_Male",INDIRECT(national_ptc_cols),0))</f>
        <v>57</v>
      </c>
    </row>
    <row r="32" spans="2:9" x14ac:dyDescent="0.35">
      <c r="C32" s="65" t="s">
        <v>37</v>
      </c>
      <c r="D32" s="115"/>
      <c r="E32" s="115"/>
      <c r="F32" s="116"/>
    </row>
    <row r="33" spans="3:15" x14ac:dyDescent="0.35">
      <c r="C33" s="25" t="s">
        <v>38</v>
      </c>
      <c r="D33" s="110">
        <f ca="1">INDEX(INDIRECT(trust_ptc_table),MATCH(selected_trust_ptc,INDIRECT(trust_ptc_rows),0),MATCH("p_White",INDIRECT(trust_ptc_cols),0))</f>
        <v>92</v>
      </c>
      <c r="E33" s="110" cm="1">
        <f t="array" aca="1" ref="E33" ca="1">INDEX(INDIRECT(alliance_ptc_table),MATCH(selected_trust_ptc_ca_name,INDIRECT(alliance_ptc_rows),0),MATCH("p_White",INDIRECT(alliance_ptc_cols),0))</f>
        <v>87</v>
      </c>
      <c r="F33" s="119">
        <f ca="1">INDEX(INDIRECT(national_ptc_row),1,MATCH("p_White",INDIRECT(national_ptc_cols),0))</f>
        <v>81</v>
      </c>
    </row>
    <row r="34" spans="3:15" x14ac:dyDescent="0.35">
      <c r="C34" s="25" t="s">
        <v>39</v>
      </c>
      <c r="D34" s="110">
        <f ca="1">INDEX(INDIRECT(trust_ptc_table),MATCH(selected_trust_ptc,INDIRECT(trust_ptc_rows),0),MATCH("p_Mixed",INDIRECT(trust_ptc_cols),0))</f>
        <v>1</v>
      </c>
      <c r="E34" s="110" cm="1">
        <f t="array" aca="1" ref="E34" ca="1">INDEX(INDIRECT(alliance_ptc_table),MATCH(selected_trust_ptc_ca_name,INDIRECT(alliance_ptc_rows),0),MATCH("p_Mixed",INDIRECT(alliance_ptc_cols),0))</f>
        <v>2</v>
      </c>
      <c r="F34" s="119">
        <f ca="1">INDEX(INDIRECT(national_ptc_row),1,MATCH("p_Mixed",INDIRECT(national_ptc_cols),0))</f>
        <v>3</v>
      </c>
    </row>
    <row r="35" spans="3:15" x14ac:dyDescent="0.35">
      <c r="C35" s="25" t="s">
        <v>40</v>
      </c>
      <c r="D35" s="110">
        <f ca="1">INDEX(INDIRECT(trust_ptc_table),MATCH(selected_trust_ptc,INDIRECT(trust_ptc_rows),0),MATCH("p_Asian",INDIRECT(trust_ptc_cols),0))</f>
        <v>3</v>
      </c>
      <c r="E35" s="110" cm="1">
        <f t="array" aca="1" ref="E35" ca="1">INDEX(INDIRECT(alliance_ptc_table),MATCH(selected_trust_ptc_ca_name,INDIRECT(alliance_ptc_rows),0),MATCH("p_Asian",INDIRECT(alliance_ptc_cols),0))</f>
        <v>6</v>
      </c>
      <c r="F35" s="119">
        <f ca="1">INDEX(INDIRECT(national_ptc_row),1,MATCH("p_Asian",INDIRECT(national_ptc_cols),0))</f>
        <v>5</v>
      </c>
    </row>
    <row r="36" spans="3:15" x14ac:dyDescent="0.35">
      <c r="C36" s="25" t="s">
        <v>41</v>
      </c>
      <c r="D36" s="110">
        <f ca="1">INDEX(INDIRECT(trust_ptc_table),MATCH(selected_trust_ptc,INDIRECT(trust_ptc_rows),0),MATCH("p_Black",INDIRECT(trust_ptc_cols),0))</f>
        <v>3</v>
      </c>
      <c r="E36" s="110" cm="1">
        <f t="array" aca="1" ref="E36" ca="1">INDEX(INDIRECT(alliance_ptc_table),MATCH(selected_trust_ptc_ca_name,INDIRECT(alliance_ptc_rows),0),MATCH("p_Black",INDIRECT(alliance_ptc_cols),0))</f>
        <v>2</v>
      </c>
      <c r="F36" s="119">
        <f ca="1">INDEX(INDIRECT(national_ptc_row),1,MATCH("p_Black",INDIRECT(national_ptc_cols),0))</f>
        <v>3</v>
      </c>
    </row>
    <row r="37" spans="3:15" x14ac:dyDescent="0.35">
      <c r="C37" s="25" t="s">
        <v>42</v>
      </c>
      <c r="D37" s="110">
        <f ca="1">INDEX(INDIRECT(trust_ptc_table),MATCH(selected_trust_ptc,INDIRECT(trust_ptc_rows),0),MATCH("p_Other",INDIRECT(trust_ptc_cols),0))</f>
        <v>0</v>
      </c>
      <c r="E37" s="110" cm="1">
        <f t="array" aca="1" ref="E37" ca="1">INDEX(INDIRECT(alliance_ptc_table),MATCH(selected_trust_ptc_ca_name,INDIRECT(alliance_ptc_rows),0),MATCH("p_Other",INDIRECT(alliance_ptc_cols),0))</f>
        <v>1</v>
      </c>
      <c r="F37" s="119">
        <f ca="1">INDEX(INDIRECT(national_ptc_row),1,MATCH("p_Other",INDIRECT(national_ptc_cols),0))</f>
        <v>4</v>
      </c>
    </row>
    <row r="38" spans="3:15" x14ac:dyDescent="0.35">
      <c r="C38" s="26" t="s">
        <v>36</v>
      </c>
      <c r="D38" s="113">
        <f ca="1">INDEX(INDIRECT(trust_ptc_table),MATCH(selected_trust_ptc,INDIRECT(trust_ptc_rows),0),MATCH("p_Ethnic_unknown",INDIRECT(trust_ptc_cols),0))</f>
        <v>1</v>
      </c>
      <c r="E38" s="113" cm="1">
        <f t="array" aca="1" ref="E38" ca="1">INDEX(INDIRECT(alliance_ptc_table),MATCH(selected_trust_ptc_ca_name,INDIRECT(alliance_ptc_rows),0),MATCH("p_Ethnic_unknown",INDIRECT(alliance_ptc_cols),0))</f>
        <v>2</v>
      </c>
      <c r="F38" s="144">
        <f ca="1">INDEX(INDIRECT(national_ptc_row),1,MATCH("p_Ethnic_unknown",INDIRECT(national_ptc_cols),0))</f>
        <v>5</v>
      </c>
    </row>
    <row r="39" spans="3:15" x14ac:dyDescent="0.35">
      <c r="C39" s="24" t="s">
        <v>43</v>
      </c>
      <c r="D39" s="110"/>
      <c r="E39" s="110"/>
      <c r="F39" s="111"/>
    </row>
    <row r="40" spans="3:15" x14ac:dyDescent="0.35">
      <c r="C40" s="25" t="s">
        <v>662</v>
      </c>
      <c r="D40" s="110">
        <f ca="1">INDEX(INDIRECT(trust_ptc_table),MATCH(selected_trust_ptc,INDIRECT(trust_ptc_rows),0),MATCH("p_imd_1_least",INDIRECT(trust_ptc_cols),0))</f>
        <v>27</v>
      </c>
      <c r="E40" s="110" cm="1">
        <f t="array" aca="1" ref="E40" ca="1">INDEX(INDIRECT(alliance_ptc_table),MATCH(selected_trust_ptc_ca_name,INDIRECT(alliance_ptc_rows),0),MATCH("p_imd_1_least",INDIRECT(alliance_ptc_cols),0))</f>
        <v>19</v>
      </c>
      <c r="F40" s="112">
        <f ca="1">INDEX(INDIRECT(national_ptc_row),1,MATCH("p_imd_1_least",INDIRECT(national_ptc_cols),0))</f>
        <v>23</v>
      </c>
    </row>
    <row r="41" spans="3:15" x14ac:dyDescent="0.35">
      <c r="C41" s="25">
        <v>2</v>
      </c>
      <c r="D41" s="110">
        <f ca="1">INDEX(INDIRECT(trust_ptc_table),MATCH(selected_trust_ptc,INDIRECT(trust_ptc_rows),0),MATCH("p_imd_2",INDIRECT(trust_ptc_cols),0))</f>
        <v>29</v>
      </c>
      <c r="E41" s="110" cm="1">
        <f t="array" aca="1" ref="E41" ca="1">INDEX(INDIRECT(alliance_ptc_table),MATCH(selected_trust_ptc_ca_name,INDIRECT(alliance_ptc_rows),0),MATCH("p_imd_2",INDIRECT(alliance_ptc_cols),0))</f>
        <v>23</v>
      </c>
      <c r="F41" s="112">
        <f ca="1">INDEX(INDIRECT(national_ptc_row),1,MATCH("p_imd_2",INDIRECT(national_ptc_cols),0))</f>
        <v>23</v>
      </c>
    </row>
    <row r="42" spans="3:15" x14ac:dyDescent="0.35">
      <c r="C42" s="25">
        <v>3</v>
      </c>
      <c r="D42" s="110">
        <f ca="1">INDEX(INDIRECT(trust_ptc_table),MATCH(selected_trust_ptc,INDIRECT(trust_ptc_rows),0),MATCH("p_imd_3",INDIRECT(trust_ptc_cols),0))</f>
        <v>25</v>
      </c>
      <c r="E42" s="110" cm="1">
        <f t="array" aca="1" ref="E42" ca="1">INDEX(INDIRECT(alliance_ptc_table),MATCH(selected_trust_ptc_ca_name,INDIRECT(alliance_ptc_rows),0),MATCH("p_imd_3",INDIRECT(alliance_ptc_cols),0))</f>
        <v>18</v>
      </c>
      <c r="F42" s="112">
        <f ca="1">INDEX(INDIRECT(national_ptc_row),1,MATCH("p_imd_3",INDIRECT(national_ptc_cols),0))</f>
        <v>21</v>
      </c>
    </row>
    <row r="43" spans="3:15" x14ac:dyDescent="0.35">
      <c r="C43" s="25">
        <v>4</v>
      </c>
      <c r="D43" s="110">
        <f ca="1">INDEX(INDIRECT(trust_ptc_table),MATCH(selected_trust_ptc,INDIRECT(trust_ptc_rows),0),MATCH("p_imd_4",INDIRECT(trust_ptc_cols),0))</f>
        <v>9</v>
      </c>
      <c r="E43" s="110" cm="1">
        <f t="array" aca="1" ref="E43" ca="1">INDEX(INDIRECT(alliance_ptc_table),MATCH(selected_trust_ptc_ca_name,INDIRECT(alliance_ptc_rows),0),MATCH("p_imd_4",INDIRECT(alliance_ptc_cols),0))</f>
        <v>15</v>
      </c>
      <c r="F43" s="112">
        <f ca="1">INDEX(INDIRECT(national_ptc_row),1,MATCH("p_imd_4",INDIRECT(national_ptc_cols),0))</f>
        <v>17</v>
      </c>
    </row>
    <row r="44" spans="3:15" x14ac:dyDescent="0.35">
      <c r="C44" s="26" t="s">
        <v>663</v>
      </c>
      <c r="D44" s="113">
        <f ca="1">INDEX(INDIRECT(trust_ptc_table),MATCH(selected_trust_ptc,INDIRECT(trust_ptc_rows),0),MATCH("p_imd_5_most",INDIRECT(trust_ptc_cols),0))</f>
        <v>10</v>
      </c>
      <c r="E44" s="113" cm="1">
        <f t="array" aca="1" ref="E44" ca="1">INDEX(INDIRECT(alliance_ptc_table),MATCH(selected_trust_ptc_ca_name,INDIRECT(alliance_ptc_rows),0),MATCH("p_imd_5_most",INDIRECT(alliance_ptc_cols),0))</f>
        <v>25</v>
      </c>
      <c r="F44" s="114">
        <f ca="1">INDEX(INDIRECT(national_ptc_row),1,MATCH("p_imd_5_most",INDIRECT(national_ptc_cols),0))</f>
        <v>15</v>
      </c>
    </row>
    <row r="45" spans="3:15" x14ac:dyDescent="0.35">
      <c r="C45" s="24" t="s">
        <v>737</v>
      </c>
      <c r="D45" s="117"/>
      <c r="E45" s="117"/>
      <c r="F45" s="118"/>
    </row>
    <row r="46" spans="3:15" x14ac:dyDescent="0.35">
      <c r="C46" s="62" t="s">
        <v>371</v>
      </c>
      <c r="D46" s="110">
        <f ca="1">INDEX(INDIRECT(trust_ptc_table),MATCH(selected_trust_ptc,INDIRECT(trust_ptc_rows),0),MATCH("p_Mature_B",INDIRECT(trust_ptc_cols),0))</f>
        <v>86</v>
      </c>
      <c r="E46" s="110" cm="1">
        <f t="array" aca="1" ref="E46" ca="1">INDEX(INDIRECT(alliance_ptc_table),MATCH(selected_trust_ptc_ca_name,INDIRECT(alliance_ptc_rows),0),MATCH("p_Mature_B",INDIRECT(alliance_ptc_cols),0))</f>
        <v>87</v>
      </c>
      <c r="F46" s="119">
        <f ca="1">INDEX(INDIRECT(national_ptc_row),1,MATCH("p_Mature_B",INDIRECT(national_ptc_cols),0))</f>
        <v>76</v>
      </c>
    </row>
    <row r="47" spans="3:15" x14ac:dyDescent="0.35">
      <c r="C47" s="67" t="s">
        <v>372</v>
      </c>
      <c r="D47" s="110">
        <f ca="1">INDEX(INDIRECT(trust_ptc_table),MATCH(selected_trust_ptc,INDIRECT(trust_ptc_rows),0),MATCH("p_Mature_B_FL",INDIRECT(trust_ptc_cols),0))</f>
        <v>14</v>
      </c>
      <c r="E47" s="110" cm="1">
        <f t="array" aca="1" ref="E47" ca="1">INDEX(INDIRECT(alliance_ptc_table),MATCH(selected_trust_ptc_ca_name,INDIRECT(alliance_ptc_rows),0),MATCH("p_Mature_B_FL",INDIRECT(alliance_ptc_cols),0))</f>
        <v>16</v>
      </c>
      <c r="F47" s="112">
        <f ca="1">INDEX(INDIRECT(national_ptc_row),1,MATCH("p_Mature_B_FL",INDIRECT(national_ptc_cols),0))</f>
        <v>14</v>
      </c>
      <c r="O47" s="1"/>
    </row>
    <row r="48" spans="3:15" x14ac:dyDescent="0.35">
      <c r="C48" s="67" t="s">
        <v>373</v>
      </c>
      <c r="D48" s="110">
        <f ca="1">INDEX(INDIRECT(trust_ptc_table),MATCH(selected_trust_ptc,INDIRECT(trust_ptc_rows),0),MATCH("p_Mature_B_LBCL",INDIRECT(trust_ptc_cols),0))</f>
        <v>25</v>
      </c>
      <c r="E48" s="110" cm="1">
        <f t="array" aca="1" ref="E48" ca="1">INDEX(INDIRECT(alliance_ptc_table),MATCH(selected_trust_ptc_ca_name,INDIRECT(alliance_ptc_rows),0),MATCH("p_Mature_B_LBCL",INDIRECT(alliance_ptc_cols),0))</f>
        <v>27</v>
      </c>
      <c r="F48" s="112">
        <f ca="1">INDEX(INDIRECT(national_ptc_row),1,MATCH("p_Mature_B_LBCL",INDIRECT(national_ptc_cols),0))</f>
        <v>25</v>
      </c>
    </row>
    <row r="49" spans="3:6" x14ac:dyDescent="0.35">
      <c r="C49" s="68" t="s">
        <v>374</v>
      </c>
      <c r="D49" s="110">
        <f ca="1">INDEX(INDIRECT(trust_ptc_table),MATCH(selected_trust_ptc,INDIRECT(trust_ptc_rows),0),MATCH("p_Mature_B_CLL",INDIRECT(trust_ptc_cols),0))</f>
        <v>21</v>
      </c>
      <c r="E49" s="110" cm="1">
        <f t="array" aca="1" ref="E49" ca="1">INDEX(INDIRECT(alliance_ptc_table),MATCH(selected_trust_ptc_ca_name,INDIRECT(alliance_ptc_rows),0),MATCH("p_Mature_B_CLL",INDIRECT(alliance_ptc_cols),0))</f>
        <v>24</v>
      </c>
      <c r="F49" s="112">
        <f ca="1">INDEX(INDIRECT(national_ptc_row),1,MATCH("p_Mature_B_CLL",INDIRECT(national_ptc_cols),0))</f>
        <v>19</v>
      </c>
    </row>
    <row r="50" spans="3:6" x14ac:dyDescent="0.35">
      <c r="C50" s="68" t="s">
        <v>375</v>
      </c>
      <c r="D50" s="110">
        <f ca="1">INDEX(INDIRECT(trust_ptc_table),MATCH(selected_trust_ptc,INDIRECT(trust_ptc_rows),0),MATCH("p_Mature_B_other",INDIRECT(trust_ptc_cols),0))</f>
        <v>26</v>
      </c>
      <c r="E50" s="110" cm="1">
        <f t="array" aca="1" ref="E50" ca="1">INDEX(INDIRECT(alliance_ptc_table),MATCH(selected_trust_ptc_ca_name,INDIRECT(alliance_ptc_rows),0),MATCH("p_Mature_B_other",INDIRECT(alliance_ptc_cols),0))</f>
        <v>21</v>
      </c>
      <c r="F50" s="112">
        <f ca="1">INDEX(INDIRECT(national_ptc_row),1,MATCH("p_Mature_B_other",INDIRECT(national_ptc_cols),0))</f>
        <v>19</v>
      </c>
    </row>
    <row r="51" spans="3:6" x14ac:dyDescent="0.35">
      <c r="C51" s="63" t="s">
        <v>376</v>
      </c>
      <c r="D51" s="110">
        <f ca="1">INDEX(INDIRECT(trust_ptc_table),MATCH(selected_trust_ptc,INDIRECT(trust_ptc_rows),0),MATCH("p_Mature_T_NK",INDIRECT(trust_ptc_cols),0))</f>
        <v>4</v>
      </c>
      <c r="E51" s="110" cm="1">
        <f t="array" aca="1" ref="E51" ca="1">INDEX(INDIRECT(alliance_ptc_table),MATCH(selected_trust_ptc_ca_name,INDIRECT(alliance_ptc_rows),0),MATCH("p_Mature_T_NK",INDIRECT(alliance_ptc_cols),0))</f>
        <v>5</v>
      </c>
      <c r="F51" s="112">
        <f ca="1">INDEX(INDIRECT(national_ptc_row),1,MATCH("p_Mature_T_NK",INDIRECT(national_ptc_cols),0))</f>
        <v>6</v>
      </c>
    </row>
    <row r="52" spans="3:6" x14ac:dyDescent="0.35">
      <c r="C52" s="64" t="s">
        <v>36</v>
      </c>
      <c r="D52" s="113">
        <f ca="1">INDEX(INDIRECT(trust_ptc_table),MATCH(selected_trust_ptc,INDIRECT(trust_ptc_rows),0),MATCH("p_Subtype_missing",INDIRECT(trust_ptc_cols),0))</f>
        <v>10</v>
      </c>
      <c r="E52" s="113" cm="1">
        <f t="array" aca="1" ref="E52" ca="1">INDEX(INDIRECT(alliance_ptc_table),MATCH(selected_trust_ptc_ca_name,INDIRECT(alliance_ptc_rows),0),MATCH("p_Subtype_missing",INDIRECT(alliance_ptc_cols),0))</f>
        <v>7</v>
      </c>
      <c r="F52" s="114">
        <f ca="1">INDEX(INDIRECT(national_ptc_row),1,MATCH("p_Subtype_missing",INDIRECT(national_ptc_cols),0))</f>
        <v>19</v>
      </c>
    </row>
    <row r="53" spans="3:6" x14ac:dyDescent="0.35">
      <c r="C53" s="47" t="s">
        <v>44</v>
      </c>
      <c r="D53" s="117"/>
      <c r="E53" s="117"/>
      <c r="F53" s="118"/>
    </row>
    <row r="54" spans="3:6" x14ac:dyDescent="0.35">
      <c r="C54" s="48" t="s">
        <v>45</v>
      </c>
      <c r="D54" s="110">
        <f ca="1">INDEX(INDIRECT(trust_ptc_table),MATCH(selected_trust_ptc,INDIRECT(trust_ptc_rows),0),MATCH("p_stage_1",INDIRECT(trust_ptc_cols),0))</f>
        <v>3</v>
      </c>
      <c r="E54" s="110" cm="1">
        <f t="array" aca="1" ref="E54" ca="1">INDEX(INDIRECT(alliance_ptc_table),MATCH(selected_trust_ptc_ca_name,INDIRECT(alliance_ptc_rows),0),MATCH("p_stage_1",INDIRECT(alliance_ptc_cols),0))</f>
        <v>8</v>
      </c>
      <c r="F54" s="112">
        <f ca="1">INDEX(INDIRECT(national_ptc_row),1,MATCH("p_stage_1",INDIRECT(national_ptc_cols),0))</f>
        <v>6</v>
      </c>
    </row>
    <row r="55" spans="3:6" x14ac:dyDescent="0.35">
      <c r="C55" s="48" t="s">
        <v>46</v>
      </c>
      <c r="D55" s="110">
        <f ca="1">INDEX(INDIRECT(trust_ptc_table),MATCH(selected_trust_ptc,INDIRECT(trust_ptc_rows),0),MATCH("p_stage_2",INDIRECT(trust_ptc_cols),0))</f>
        <v>1</v>
      </c>
      <c r="E55" s="110" cm="1">
        <f t="array" aca="1" ref="E55" ca="1">INDEX(INDIRECT(alliance_ptc_table),MATCH(selected_trust_ptc_ca_name,INDIRECT(alliance_ptc_rows),0),MATCH("p_stage_2",INDIRECT(alliance_ptc_cols),0))</f>
        <v>3</v>
      </c>
      <c r="F55" s="112">
        <f ca="1">INDEX(INDIRECT(national_ptc_row),1,MATCH("p_stage_2",INDIRECT(national_ptc_cols),0))</f>
        <v>4</v>
      </c>
    </row>
    <row r="56" spans="3:6" x14ac:dyDescent="0.35">
      <c r="C56" s="48" t="s">
        <v>358</v>
      </c>
      <c r="D56" s="110">
        <f ca="1">INDEX(INDIRECT(trust_ptc_table),MATCH(selected_trust_ptc,INDIRECT(trust_ptc_rows),0),MATCH("p_stage_3",INDIRECT(trust_ptc_cols),0))</f>
        <v>3</v>
      </c>
      <c r="E56" s="110" cm="1">
        <f t="array" aca="1" ref="E56" ca="1">INDEX(INDIRECT(alliance_ptc_table),MATCH(selected_trust_ptc_ca_name,INDIRECT(alliance_ptc_rows),0),MATCH("p_stage_3",INDIRECT(alliance_ptc_cols),0))</f>
        <v>7</v>
      </c>
      <c r="F56" s="112">
        <f ca="1">INDEX(INDIRECT(national_ptc_row),1,MATCH("p_stage_3",INDIRECT(national_ptc_cols),0))</f>
        <v>7</v>
      </c>
    </row>
    <row r="57" spans="3:6" x14ac:dyDescent="0.35">
      <c r="C57" s="48" t="s">
        <v>47</v>
      </c>
      <c r="D57" s="110">
        <f ca="1">INDEX(INDIRECT(trust_ptc_table),MATCH(selected_trust_ptc,INDIRECT(trust_ptc_rows),0),MATCH("p_stage_4",INDIRECT(trust_ptc_cols),0))</f>
        <v>3</v>
      </c>
      <c r="E57" s="110" cm="1">
        <f t="array" aca="1" ref="E57" ca="1">INDEX(INDIRECT(alliance_ptc_table),MATCH(selected_trust_ptc_ca_name,INDIRECT(alliance_ptc_rows),0),MATCH("p_stage_4",INDIRECT(alliance_ptc_cols),0))</f>
        <v>13</v>
      </c>
      <c r="F57" s="112">
        <f ca="1">INDEX(INDIRECT(national_ptc_row),1,MATCH("p_stage_4",INDIRECT(national_ptc_cols),0))</f>
        <v>15</v>
      </c>
    </row>
    <row r="58" spans="3:6" x14ac:dyDescent="0.35">
      <c r="C58" s="49" t="s">
        <v>36</v>
      </c>
      <c r="D58" s="113">
        <f ca="1">INDEX(INDIRECT(trust_ptc_table),MATCH(selected_trust_ptc,INDIRECT(trust_ptc_rows),0),MATCH("p_stage_missing",INDIRECT(trust_ptc_cols),0))</f>
        <v>91</v>
      </c>
      <c r="E58" s="113" cm="1">
        <f t="array" aca="1" ref="E58" ca="1">INDEX(INDIRECT(alliance_ptc_table),MATCH(selected_trust_ptc_ca_name,INDIRECT(alliance_ptc_rows),0),MATCH("p_stage_missing",INDIRECT(alliance_ptc_cols),0))</f>
        <v>69</v>
      </c>
      <c r="F58" s="114">
        <f ca="1">INDEX(INDIRECT(national_ptc_row),1,MATCH("p_stage_missing",INDIRECT(national_ptc_cols),0))</f>
        <v>68</v>
      </c>
    </row>
    <row r="59" spans="3:6" x14ac:dyDescent="0.35">
      <c r="C59" s="47" t="s">
        <v>48</v>
      </c>
      <c r="D59" s="117"/>
      <c r="E59" s="117"/>
      <c r="F59" s="118"/>
    </row>
    <row r="60" spans="3:6" x14ac:dyDescent="0.35">
      <c r="C60" s="48">
        <v>0</v>
      </c>
      <c r="D60" s="110">
        <f ca="1">INDEX(INDIRECT(trust_ptc_table),MATCH(selected_trust_ptc,INDIRECT(trust_ptc_rows),0),MATCH("p_ps_0",INDIRECT(trust_ptc_cols),0))</f>
        <v>12</v>
      </c>
      <c r="E60" s="110" cm="1">
        <f t="array" aca="1" ref="E60" ca="1">INDEX(INDIRECT(alliance_ptc_table),MATCH(selected_trust_ptc_ca_name,INDIRECT(alliance_ptc_rows),0),MATCH("p_ps_0",INDIRECT(alliance_ptc_cols),0))</f>
        <v>25</v>
      </c>
      <c r="F60" s="112">
        <f ca="1">INDEX(INDIRECT(national_ptc_row),1,MATCH("p_ps_0",INDIRECT(national_ptc_cols),0))</f>
        <v>29</v>
      </c>
    </row>
    <row r="61" spans="3:6" x14ac:dyDescent="0.35">
      <c r="C61" s="48">
        <v>1</v>
      </c>
      <c r="D61" s="110">
        <f ca="1">INDEX(INDIRECT(trust_ptc_table),MATCH(selected_trust_ptc,INDIRECT(trust_ptc_rows),0),MATCH("p_ps_1",INDIRECT(trust_ptc_cols),0))</f>
        <v>9</v>
      </c>
      <c r="E61" s="110" cm="1">
        <f t="array" aca="1" ref="E61" ca="1">INDEX(INDIRECT(alliance_ptc_table),MATCH(selected_trust_ptc_ca_name,INDIRECT(alliance_ptc_rows),0),MATCH("p_ps_1",INDIRECT(alliance_ptc_cols),0))</f>
        <v>25</v>
      </c>
      <c r="F61" s="112">
        <f ca="1">INDEX(INDIRECT(national_ptc_row),1,MATCH("p_ps_1",INDIRECT(national_ptc_cols),0))</f>
        <v>18</v>
      </c>
    </row>
    <row r="62" spans="3:6" x14ac:dyDescent="0.35">
      <c r="C62" s="48">
        <v>2</v>
      </c>
      <c r="D62" s="110">
        <f ca="1">INDEX(INDIRECT(trust_ptc_table),MATCH(selected_trust_ptc,INDIRECT(trust_ptc_rows),0),MATCH("p_ps_2",INDIRECT(trust_ptc_cols),0))</f>
        <v>3</v>
      </c>
      <c r="E62" s="110" cm="1">
        <f t="array" aca="1" ref="E62" ca="1">INDEX(INDIRECT(alliance_ptc_table),MATCH(selected_trust_ptc_ca_name,INDIRECT(alliance_ptc_rows),0),MATCH("p_ps_2",INDIRECT(alliance_ptc_cols),0))</f>
        <v>9</v>
      </c>
      <c r="F62" s="112">
        <f ca="1">INDEX(INDIRECT(national_ptc_row),1,MATCH("p_ps_2",INDIRECT(national_ptc_cols),0))</f>
        <v>6</v>
      </c>
    </row>
    <row r="63" spans="3:6" x14ac:dyDescent="0.35">
      <c r="C63" s="48" t="s">
        <v>388</v>
      </c>
      <c r="D63" s="110">
        <f ca="1">INDEX(INDIRECT(trust_ptc_table),MATCH(selected_trust_ptc,INDIRECT(trust_ptc_rows),0),MATCH("p_ps_3_4",INDIRECT(trust_ptc_cols),0))</f>
        <v>3</v>
      </c>
      <c r="E63" s="110" cm="1">
        <f t="array" aca="1" ref="E63" ca="1">INDEX(INDIRECT(alliance_ptc_table),MATCH(selected_trust_ptc_ca_name,INDIRECT(alliance_ptc_rows),0),MATCH("p_ps_3_4",INDIRECT(alliance_ptc_cols),0))</f>
        <v>4</v>
      </c>
      <c r="F63" s="112">
        <f ca="1">INDEX(INDIRECT(national_ptc_row),1,MATCH("p_ps_3_4",INDIRECT(national_ptc_cols),0))</f>
        <v>4</v>
      </c>
    </row>
    <row r="64" spans="3:6" x14ac:dyDescent="0.35">
      <c r="C64" s="49" t="s">
        <v>36</v>
      </c>
      <c r="D64" s="113">
        <f ca="1">INDEX(INDIRECT(trust_ptc_table),MATCH(selected_trust_ptc,INDIRECT(trust_ptc_rows),0),MATCH("p_ps_missing",INDIRECT(trust_ptc_cols),0))</f>
        <v>74</v>
      </c>
      <c r="E64" s="113" cm="1">
        <f t="array" aca="1" ref="E64" ca="1">INDEX(INDIRECT(alliance_ptc_table),MATCH(selected_trust_ptc_ca_name,INDIRECT(alliance_ptc_rows),0),MATCH("p_ps_missing",INDIRECT(alliance_ptc_cols),0))</f>
        <v>38</v>
      </c>
      <c r="F64" s="114">
        <f ca="1">INDEX(INDIRECT(national_ptc_row),1,MATCH("p_ps_missing",INDIRECT(national_ptc_cols),0))</f>
        <v>42</v>
      </c>
    </row>
    <row r="66" spans="3:6" x14ac:dyDescent="0.35">
      <c r="C66" s="152" t="s">
        <v>738</v>
      </c>
      <c r="D66" s="152"/>
      <c r="E66" s="152"/>
      <c r="F66" s="152"/>
    </row>
    <row r="67" spans="3:6" x14ac:dyDescent="0.35">
      <c r="C67" s="152"/>
      <c r="D67" s="152"/>
      <c r="E67" s="152"/>
      <c r="F67" s="152"/>
    </row>
  </sheetData>
  <mergeCells count="4">
    <mergeCell ref="C10:F10"/>
    <mergeCell ref="C22:C23"/>
    <mergeCell ref="C66:F67"/>
    <mergeCell ref="C18:D18"/>
  </mergeCells>
  <hyperlinks>
    <hyperlink ref="C18:D18" r:id="rId1" display="Further information on RCRD can be found here." xr:uid="{4470AF89-681A-4591-B62C-7EE44D736D0A}"/>
  </hyperlinks>
  <pageMargins left="0.70866141732283472" right="0.70866141732283472" top="0.74803149606299213" bottom="0.74803149606299213" header="0.31496062992125984" footer="0.31496062992125984"/>
  <pageSetup paperSize="9" scale="5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DD8A4F7-FCD4-4E36-A33B-B88E1E4198E0}">
          <x14:formula1>
            <xm:f>Lists!$B$61:$B$184</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7"/>
  <sheetViews>
    <sheetView showGridLines="0" zoomScale="80" zoomScaleNormal="80" workbookViewId="0"/>
  </sheetViews>
  <sheetFormatPr defaultRowHeight="14.5" x14ac:dyDescent="0.35"/>
  <cols>
    <col min="1" max="1" width="3.81640625" customWidth="1"/>
    <col min="2" max="2" width="3.54296875" customWidth="1"/>
    <col min="3" max="3" width="46.81640625" customWidth="1"/>
    <col min="4" max="4" width="20.453125" customWidth="1"/>
    <col min="5" max="5" width="16.453125" bestFit="1" customWidth="1"/>
    <col min="6" max="6" width="23.26953125" bestFit="1" customWidth="1"/>
    <col min="7" max="7" width="23.7265625" customWidth="1"/>
    <col min="8" max="8" width="13.7265625" customWidth="1"/>
    <col min="9" max="9" width="35.453125" customWidth="1"/>
    <col min="10" max="10" width="81.54296875" customWidth="1"/>
    <col min="11" max="11" width="17.453125" bestFit="1" customWidth="1"/>
    <col min="12" max="12" width="16.54296875" customWidth="1"/>
    <col min="13" max="13" width="3.1796875" customWidth="1"/>
    <col min="14" max="14" width="23.7265625" customWidth="1"/>
    <col min="15" max="15" width="19.26953125" bestFit="1" customWidth="1"/>
    <col min="16" max="16" width="18.1796875" bestFit="1" customWidth="1"/>
    <col min="17" max="17" width="19.26953125" bestFit="1" customWidth="1"/>
  </cols>
  <sheetData>
    <row r="1" spans="1:17" x14ac:dyDescent="0.35">
      <c r="A1" t="s">
        <v>332</v>
      </c>
    </row>
    <row r="2" spans="1:17" x14ac:dyDescent="0.35">
      <c r="H2" s="1" t="s">
        <v>752</v>
      </c>
    </row>
    <row r="4" spans="1:17" x14ac:dyDescent="0.35">
      <c r="I4" s="1" t="s">
        <v>15</v>
      </c>
    </row>
    <row r="5" spans="1:17" ht="15" customHeight="1" x14ac:dyDescent="0.35">
      <c r="I5" s="151" t="str">
        <f ca="1">selected_cosdq_num_xc</f>
        <v>Number of people in England diagnosed with large b cell lymphoma who have a Revised International Prognostic Index score recorded</v>
      </c>
      <c r="J5" s="151"/>
      <c r="K5" s="32"/>
      <c r="L5" s="32"/>
      <c r="M5" s="32"/>
      <c r="N5" s="32"/>
      <c r="O5" s="32"/>
    </row>
    <row r="6" spans="1:17" ht="15.75" customHeight="1" x14ac:dyDescent="0.35">
      <c r="I6" s="151"/>
      <c r="J6" s="151"/>
      <c r="K6" s="32"/>
      <c r="L6" s="32"/>
      <c r="M6" s="32"/>
      <c r="N6" s="32"/>
      <c r="O6" s="32"/>
    </row>
    <row r="7" spans="1:17" x14ac:dyDescent="0.35">
      <c r="I7" s="1" t="s">
        <v>16</v>
      </c>
    </row>
    <row r="8" spans="1:17" ht="15" customHeight="1" x14ac:dyDescent="0.35">
      <c r="B8" s="1" t="s">
        <v>17</v>
      </c>
      <c r="I8" s="151" t="str">
        <f ca="1">selected_cosdq_denomdescr_xc</f>
        <v>Number of people in England diagnosed with large b cell lymphoma</v>
      </c>
      <c r="J8" s="151"/>
      <c r="K8" s="32"/>
      <c r="L8" s="32"/>
      <c r="M8" s="32"/>
      <c r="N8" s="32"/>
      <c r="O8" s="32"/>
    </row>
    <row r="9" spans="1:17" ht="15" customHeight="1" thickBot="1" x14ac:dyDescent="0.4">
      <c r="E9" s="2"/>
      <c r="I9" s="151"/>
      <c r="J9" s="151"/>
      <c r="K9" s="32"/>
      <c r="L9" s="32"/>
      <c r="M9" s="32"/>
      <c r="N9" s="32"/>
      <c r="O9" s="32"/>
      <c r="Q9" s="32"/>
    </row>
    <row r="10" spans="1:17" ht="15" customHeight="1" thickBot="1" x14ac:dyDescent="0.4">
      <c r="C10" s="154" t="s">
        <v>31</v>
      </c>
      <c r="D10" s="155"/>
      <c r="E10" s="155"/>
      <c r="F10" s="156"/>
      <c r="I10" s="170" t="s">
        <v>753</v>
      </c>
      <c r="J10" s="170"/>
      <c r="K10" s="136"/>
      <c r="L10" s="136"/>
      <c r="M10" s="136"/>
      <c r="N10" s="136"/>
      <c r="O10" s="136"/>
      <c r="Q10" s="32"/>
    </row>
    <row r="11" spans="1:17" ht="15" customHeight="1" x14ac:dyDescent="0.35">
      <c r="Q11" s="32"/>
    </row>
    <row r="12" spans="1:17" ht="15" customHeight="1" x14ac:dyDescent="0.35">
      <c r="C12" s="9" t="str" cm="1">
        <f t="array" aca="1" ref="C12" ca="1">"This selected Trust is within the "&amp;selected_trust_ca_name_xc_cosd&amp;" Cancer Alliance"</f>
        <v>This selected Trust is within the West Yorkshire and Harrogate Cancer Alliance</v>
      </c>
      <c r="H12" s="1" t="s">
        <v>24</v>
      </c>
      <c r="J12" s="37" t="str">
        <f ca="1">selected_cosdq_time_xc</f>
        <v>Q3 2021 to Q2 2022</v>
      </c>
      <c r="K12" s="37"/>
      <c r="L12" s="37"/>
      <c r="M12" s="37"/>
      <c r="Q12" s="32"/>
    </row>
    <row r="13" spans="1:17" ht="15.75" customHeight="1" x14ac:dyDescent="0.35">
      <c r="I13" t="str">
        <f>"("&amp;quarter_definitions&amp;")"</f>
        <v>(Q1: 1 January – 31 March; Q2: 1 April – 30 June; Q3: 1 July – 30 September; Q4: 1 October – 31 December)</v>
      </c>
      <c r="K13" s="32"/>
      <c r="Q13" s="32"/>
    </row>
    <row r="14" spans="1:17" ht="15.75" customHeight="1" x14ac:dyDescent="0.35">
      <c r="B14" s="1" t="s">
        <v>21</v>
      </c>
      <c r="E14" s="2"/>
      <c r="K14" s="38"/>
      <c r="L14" s="38"/>
      <c r="M14" s="38"/>
      <c r="N14" s="38"/>
      <c r="Q14" s="32"/>
    </row>
    <row r="15" spans="1:17" ht="14.25" customHeight="1" thickBot="1" x14ac:dyDescent="0.4">
      <c r="E15" s="2"/>
      <c r="H15" s="1" t="s">
        <v>19</v>
      </c>
      <c r="I15" s="151" t="str">
        <f ca="1">selected_cosdq_datasource_xc</f>
        <v>Cancer Outcomes and Services Dataset (COSD)</v>
      </c>
      <c r="J15" s="151"/>
    </row>
    <row r="16" spans="1:17" ht="18" customHeight="1" thickBot="1" x14ac:dyDescent="0.4">
      <c r="C16" s="154" t="s">
        <v>629</v>
      </c>
      <c r="D16" s="155"/>
      <c r="E16" s="155"/>
      <c r="F16" s="156"/>
      <c r="K16" s="37"/>
      <c r="L16" s="37"/>
      <c r="M16" s="37"/>
      <c r="N16" s="37"/>
    </row>
    <row r="17" spans="2:14" x14ac:dyDescent="0.35">
      <c r="E17" s="2"/>
      <c r="H17" s="39" t="s">
        <v>20</v>
      </c>
      <c r="I17" s="37" t="str">
        <f ca="1">selected_cosdq_datavar_xc</f>
        <v>HA8450</v>
      </c>
    </row>
    <row r="18" spans="2:14" ht="15" customHeight="1" x14ac:dyDescent="0.35">
      <c r="C18" s="152" t="s">
        <v>23</v>
      </c>
      <c r="D18" s="152"/>
      <c r="E18" s="152"/>
      <c r="F18" s="152"/>
      <c r="I18" s="171" t="s">
        <v>744</v>
      </c>
      <c r="J18" s="171"/>
    </row>
    <row r="19" spans="2:14" ht="15" customHeight="1" x14ac:dyDescent="0.35">
      <c r="B19" s="5"/>
      <c r="C19" s="152"/>
      <c r="D19" s="152"/>
      <c r="E19" s="152"/>
      <c r="F19" s="152"/>
      <c r="J19" s="33"/>
      <c r="K19" s="51"/>
      <c r="L19" s="51"/>
      <c r="M19" s="51"/>
      <c r="N19" s="51"/>
    </row>
    <row r="20" spans="2:14" ht="15" customHeight="1" x14ac:dyDescent="0.35">
      <c r="B20" s="59"/>
      <c r="C20" s="59"/>
      <c r="D20" s="59"/>
      <c r="E20" s="59"/>
      <c r="F20" s="59"/>
      <c r="H20" s="36" t="s">
        <v>22</v>
      </c>
      <c r="I20" s="51">
        <f ca="1">selected_cosdq_target_xc</f>
        <v>0.9</v>
      </c>
      <c r="K20" s="51"/>
      <c r="L20" s="51"/>
      <c r="M20" s="51"/>
      <c r="N20" s="51"/>
    </row>
    <row r="21" spans="2:14" x14ac:dyDescent="0.35">
      <c r="E21" s="2"/>
    </row>
    <row r="22" spans="2:14" ht="15" customHeight="1" x14ac:dyDescent="0.35">
      <c r="B22" s="160" t="str">
        <f>"Table 3: "&amp;selected_cosdq_descr_xc&amp;" between "&amp;start_date_cosd&amp;" and "&amp;end_date_cosd&amp;" (%)"</f>
        <v>Table 3: Data completeness for Revised International Prognostic Index (R-IPI) between Q3 2021 and Q2 2022 (%)</v>
      </c>
      <c r="C22" s="160"/>
      <c r="D22" s="160"/>
      <c r="E22" s="160"/>
      <c r="F22" s="160"/>
      <c r="G22" s="160"/>
      <c r="I22" s="160" t="str">
        <f>"Figure 2: "&amp;C16&amp;" between "&amp;start_date_cosd&amp;" and "&amp;end_date_cosd&amp;" (%)"</f>
        <v>Figure 2: Data completeness for Revised International Prognostic Index (R-IPI) between Q3 2021 and Q2 2022 (%)</v>
      </c>
      <c r="J22" s="160"/>
      <c r="K22" s="160"/>
      <c r="L22" s="160"/>
      <c r="M22" s="160"/>
      <c r="N22" s="160"/>
    </row>
    <row r="23" spans="2:14" x14ac:dyDescent="0.35">
      <c r="B23" s="160"/>
      <c r="C23" s="160"/>
      <c r="D23" s="160"/>
      <c r="E23" s="160"/>
      <c r="F23" s="160"/>
      <c r="G23" s="160"/>
      <c r="I23" s="160"/>
      <c r="J23" s="160"/>
      <c r="K23" s="160"/>
      <c r="L23" s="160"/>
      <c r="M23" s="160"/>
      <c r="N23" s="160"/>
    </row>
    <row r="24" spans="2:14" ht="15" customHeight="1" x14ac:dyDescent="0.35">
      <c r="C24" s="28"/>
      <c r="D24" s="16"/>
      <c r="E24" s="162" t="s">
        <v>25</v>
      </c>
      <c r="F24" s="15" t="s">
        <v>26</v>
      </c>
      <c r="G24" s="167" t="str">
        <f>"Rank (nationally, among "&amp;_xlfn.SINGLE(n_trusts)&amp;" trusts/"&amp;_xlfn.SINGLE(n_ca)&amp;" cancer alliances)"</f>
        <v>Rank (nationally, among 129 trusts/21 cancer alliances)</v>
      </c>
    </row>
    <row r="25" spans="2:14" x14ac:dyDescent="0.35">
      <c r="C25" s="44"/>
      <c r="E25" s="163"/>
      <c r="F25" s="88" t="str">
        <f ca="1">"Target (%): "&amp;$I$20*100</f>
        <v>Target (%): 90</v>
      </c>
      <c r="G25" s="169"/>
    </row>
    <row r="26" spans="2:14" x14ac:dyDescent="0.35">
      <c r="C26" s="29"/>
      <c r="D26" s="7"/>
      <c r="E26" s="164"/>
      <c r="F26" s="7"/>
      <c r="G26" s="168"/>
    </row>
    <row r="27" spans="2:14" x14ac:dyDescent="0.35">
      <c r="C27" s="22" t="str">
        <f>selected_trust_xc_cosd</f>
        <v>Airedale NHS Foundation Trust</v>
      </c>
      <c r="E27" s="105" cm="1">
        <f t="array" aca="1" ref="E27" ca="1">INDEX(INDIRECT(trust_cosdq_table),MATCH(selected_trust_xc_cosd,INDIRECT(trust_cosdq_rows),0),MATCH(selected_cosdq_denom_xc,INDIRECT(trust_cosdq_cols),0))</f>
        <v>7</v>
      </c>
      <c r="F27" s="96">
        <f ca="1">INDEX(INDIRECT(trust_cosdq_table),MATCH(selected_trust_xc_cosd,INDIRECT(trust_cosdq_rows),0),MATCH(selected_cosdq_name_xc,INDIRECT(trust_cosdq_cols),0))</f>
        <v>0</v>
      </c>
      <c r="G27" s="103">
        <f ca="1">INDEX(INDIRECT(trust_cosdq_table),MATCH(selected_trust_xc_cosd,INDIRECT(trust_cosdq_rows),0),MATCH(trust_rcrd_quality!$L$1,INDIRECT(trust_cosdq_cols),0))</f>
        <v>52</v>
      </c>
    </row>
    <row r="28" spans="2:14" x14ac:dyDescent="0.35">
      <c r="C28" s="22" t="str">
        <f ca="1">selected_trust_ca_name_xc_cosd&amp;" cancer alliance"</f>
        <v>West Yorkshire and Harrogate cancer alliance</v>
      </c>
      <c r="E28" s="105" cm="1">
        <f t="array" aca="1" ref="E28" ca="1">INDEX(INDIRECT(alliance_cosdq_table),MATCH(selected_trust_ca_name_xc_cosd,INDIRECT(alliance_cosdq_rows),0),MATCH(selected_cosdq_denom_xc,INDIRECT(alliance_cosdq_cols),0))</f>
        <v>148</v>
      </c>
      <c r="F28" s="96">
        <f ca="1">INDEX(INDIRECT(alliance_cosdq_table),MATCH(selected_trust_ca_name_xc_cosd,INDIRECT(alliance_cosdq_rows),0),MATCH(selected_cosdq_name_xc,INDIRECT(alliance_cosdq_cols),0))</f>
        <v>0</v>
      </c>
      <c r="G28" s="103">
        <f ca="1">INDEX(INDIRECT(alliance_cosdq_table),MATCH(selected_trust_ca_name_xc_cosd,INDIRECT(alliance_cosdq_rows),0),MATCH(alliance_rcrd_quality!$J$1,INDIRECT(alliance_cosdq_cols),0))</f>
        <v>21</v>
      </c>
    </row>
    <row r="29" spans="2:14" x14ac:dyDescent="0.35">
      <c r="C29" s="23" t="s">
        <v>27</v>
      </c>
      <c r="D29" s="7"/>
      <c r="E29" s="106">
        <f ca="1">INDEX(INDIRECT(national_cosdq_table),2,MATCH(selected_cosdq_denom_xc,INDIRECT(national_cosdq_cols),0))</f>
        <v>3276</v>
      </c>
      <c r="F29" s="97">
        <f ca="1">INDEX(INDIRECT(national_cosdq_table),2,MATCH(selected_cosdq_name_xc,INDIRECT(national_cosdq_cols),0))</f>
        <v>0.11</v>
      </c>
      <c r="G29" s="104" t="s">
        <v>28</v>
      </c>
    </row>
    <row r="30" spans="2:14" x14ac:dyDescent="0.35">
      <c r="C30" t="s">
        <v>29</v>
      </c>
    </row>
    <row r="32" spans="2:14" x14ac:dyDescent="0.35">
      <c r="B32" s="161" t="str">
        <f ca="1">"Table 4: "&amp;selected_cosdq_descr_xc&amp;" at NHS Trusts within the "&amp;selected_trust_ca_name_xc_cosd&amp;" Cancer Alliance"&amp;" between "&amp;start_date_cosd&amp;" and "&amp;end_date_cosd&amp;" (%)"</f>
        <v>Table 4: Data completeness for Revised International Prognostic Index (R-IPI) at NHS Trusts within the West Yorkshire and Harrogate Cancer Alliance between Q3 2021 and Q2 2022 (%)</v>
      </c>
      <c r="C32" s="161"/>
      <c r="D32" s="161"/>
      <c r="E32" s="161"/>
      <c r="F32" s="161"/>
      <c r="G32" s="161"/>
    </row>
    <row r="33" spans="2:8" x14ac:dyDescent="0.35">
      <c r="B33" s="161"/>
      <c r="C33" s="161"/>
      <c r="D33" s="161"/>
      <c r="E33" s="161"/>
      <c r="F33" s="161"/>
      <c r="G33" s="161"/>
    </row>
    <row r="34" spans="2:8" x14ac:dyDescent="0.35">
      <c r="C34" s="1"/>
    </row>
    <row r="35" spans="2:8" x14ac:dyDescent="0.35">
      <c r="C35" s="165" t="s">
        <v>30</v>
      </c>
      <c r="D35" s="16"/>
      <c r="E35" s="162" t="s">
        <v>25</v>
      </c>
      <c r="F35" s="15" t="s">
        <v>26</v>
      </c>
      <c r="G35" s="167" t="str">
        <f>"Rank (nationally, among "&amp;_xlfn.SINGLE(n_trusts)&amp;" trusts)"</f>
        <v>Rank (nationally, among 129 trusts)</v>
      </c>
    </row>
    <row r="36" spans="2:8" x14ac:dyDescent="0.35">
      <c r="C36" s="166"/>
      <c r="D36" s="7"/>
      <c r="E36" s="164"/>
      <c r="F36" s="89" t="str">
        <f ca="1">"Target (%): "&amp;$I$20*100</f>
        <v>Target (%): 90</v>
      </c>
      <c r="G36" s="168"/>
    </row>
    <row r="37" spans="2:8" x14ac:dyDescent="0.35">
      <c r="C37" s="101" t="str" cm="1">
        <f t="array" aca="1" ref="C37" ca="1">IF(ROWS($C$36:C36)&lt;=n_trusts_in_CA_xc_cosd, INDEX(trust_cosd_quality!$A$2:$A$129,_xlfn.AGGREGATE(15,3,(trust_cosd_quality!$C$2:$C$129=selected_trust_ca_name_xc_cosd)/(trust_cosd_quality!$C$2:$C$129=selected_trust_ca_name_xc_cosd)*(ROW(trust_cosd_quality!$C$2:$C$129)-ROW(trust_cosd_quality!$C$1)),ROWS($C$36:C36))),"")</f>
        <v>Airedale NHS Foundation Trust</v>
      </c>
      <c r="E37" s="123" cm="1">
        <f t="array" aca="1" ref="E37" ca="1">IF(ROWS($E$36:E36)&lt;=n_trusts_in_CA_xc_cosd, INDEX(trust_cosd_quality!$T$2:$T$129,_xlfn.AGGREGATE(15,3,(trust_cosd_quality!$C$2:$C$129=selected_trust_ca_name_xc_cosd)/(trust_cosd_quality!$C$2:$C$129=selected_trust_ca_name_xc_cosd)*(ROW(trust_cosd_quality!$C$2:$C$129)-ROW(trust_cosd_quality!$C$1)),ROWS($E$36:E36))),"")</f>
        <v>7</v>
      </c>
      <c r="F37" s="107" cm="1">
        <f t="array" aca="1" ref="F37" ca="1">IF(ROWS($F$36:F36)&lt;=n_trusts_in_CA_xc_cosd, INDEX(trust_cosd_quality!$R$2:$R$129,_xlfn.AGGREGATE(15,3,(trust_cosd_quality!$C$2:$C$129=selected_trust_ca_name_xc_cosd)/(trust_cosd_quality!$C$2:$C$129=selected_trust_ca_name_xc_cosd)*(ROW(trust_cosd_quality!$C$2:$C$129)-ROW(trust_cosd_quality!$C$1)),ROWS($F$36:F36))),"")</f>
        <v>0</v>
      </c>
      <c r="G37" s="103" cm="1">
        <f t="array" aca="1" ref="G37" ca="1">IF(ROWS($G$36:G36)&lt;=n_trusts_in_CA_xc_cosd, INDEX(trust_cosd_quality!$S$2:$S$129,_xlfn.AGGREGATE(15,3,(trust_cosd_quality!$C$2:$C$129=selected_trust_ca_name_xc_cosd)/(trust_cosd_quality!$C$2:$C$129=selected_trust_ca_name_xc_cosd)*(ROW(trust_cosd_quality!$C$2:$C$129)-ROW(trust_cosd_quality!$C$1)),ROWS($G$36:G36))),"")</f>
        <v>52</v>
      </c>
      <c r="H37" s="4"/>
    </row>
    <row r="38" spans="2:8" x14ac:dyDescent="0.35">
      <c r="C38" s="101" t="str" cm="1">
        <f t="array" aca="1" ref="C38" ca="1">IF(ROWS($C$36:C37)&lt;=n_trusts_in_CA_xc_cosd, INDEX(trust_cosd_quality!$A$2:$A$129,_xlfn.AGGREGATE(15,3,(trust_cosd_quality!$C$2:$C$129=selected_trust_ca_name_xc_cosd)/(trust_cosd_quality!$C$2:$C$129=selected_trust_ca_name_xc_cosd)*(ROW(trust_cosd_quality!$C$2:$C$129)-ROW(trust_cosd_quality!$C$1)),ROWS($C$36:C37))),"")</f>
        <v>Bradford Teaching Hospitals NHS Foundation Trust</v>
      </c>
      <c r="E38" s="123" cm="1">
        <f t="array" aca="1" ref="E38" ca="1">IF(ROWS($E$36:E37)&lt;=n_trusts_in_CA_xc_cosd, INDEX(trust_cosd_quality!$T$2:$T$129,_xlfn.AGGREGATE(15,3,(trust_cosd_quality!$C$2:$C$129=selected_trust_ca_name_xc_cosd)/(trust_cosd_quality!$C$2:$C$129=selected_trust_ca_name_xc_cosd)*(ROW(trust_cosd_quality!$C$2:$C$129)-ROW(trust_cosd_quality!$C$1)),ROWS($E$36:E37))),"")</f>
        <v>15</v>
      </c>
      <c r="F38" s="107" cm="1">
        <f t="array" aca="1" ref="F38" ca="1">IF(ROWS($F$36:F37)&lt;=n_trusts_in_CA_xc_cosd, INDEX(trust_cosd_quality!$R$2:$R$129,_xlfn.AGGREGATE(15,3,(trust_cosd_quality!$C$2:$C$129=selected_trust_ca_name_xc_cosd)/(trust_cosd_quality!$C$2:$C$129=selected_trust_ca_name_xc_cosd)*(ROW(trust_cosd_quality!$C$2:$C$129)-ROW(trust_cosd_quality!$C$1)),ROWS($F$36:F37))),"")</f>
        <v>0</v>
      </c>
      <c r="G38" s="103" cm="1">
        <f t="array" aca="1" ref="G38" ca="1">IF(ROWS($G$36:G37)&lt;=n_trusts_in_CA_xc_cosd, INDEX(trust_cosd_quality!$S$2:$S$129,_xlfn.AGGREGATE(15,3,(trust_cosd_quality!$C$2:$C$129=selected_trust_ca_name_xc_cosd)/(trust_cosd_quality!$C$2:$C$129=selected_trust_ca_name_xc_cosd)*(ROW(trust_cosd_quality!$C$2:$C$129)-ROW(trust_cosd_quality!$C$1)),ROWS($G$36:G37))),"")</f>
        <v>57</v>
      </c>
      <c r="H38" s="4"/>
    </row>
    <row r="39" spans="2:8" x14ac:dyDescent="0.35">
      <c r="C39" s="101" t="str" cm="1">
        <f t="array" aca="1" ref="C39" ca="1">IF(ROWS($C$36:C38)&lt;=n_trusts_in_CA_xc_cosd, INDEX(trust_cosd_quality!$A$2:$A$129,_xlfn.AGGREGATE(15,3,(trust_cosd_quality!$C$2:$C$129=selected_trust_ca_name_xc_cosd)/(trust_cosd_quality!$C$2:$C$129=selected_trust_ca_name_xc_cosd)*(ROW(trust_cosd_quality!$C$2:$C$129)-ROW(trust_cosd_quality!$C$1)),ROWS($C$36:C38))),"")</f>
        <v>Calderdale and Huddersfield NHS Foundation Trust</v>
      </c>
      <c r="E39" s="123" cm="1">
        <f t="array" aca="1" ref="E39" ca="1">IF(ROWS($E$36:E38)&lt;=n_trusts_in_CA_xc_cosd, INDEX(trust_cosd_quality!$T$2:$T$129,_xlfn.AGGREGATE(15,3,(trust_cosd_quality!$C$2:$C$129=selected_trust_ca_name_xc_cosd)/(trust_cosd_quality!$C$2:$C$129=selected_trust_ca_name_xc_cosd)*(ROW(trust_cosd_quality!$C$2:$C$129)-ROW(trust_cosd_quality!$C$1)),ROWS($E$36:E38))),"")</f>
        <v>25</v>
      </c>
      <c r="F39" s="107" cm="1">
        <f t="array" aca="1" ref="F39" ca="1">IF(ROWS($F$36:F38)&lt;=n_trusts_in_CA_xc_cosd, INDEX(trust_cosd_quality!$R$2:$R$129,_xlfn.AGGREGATE(15,3,(trust_cosd_quality!$C$2:$C$129=selected_trust_ca_name_xc_cosd)/(trust_cosd_quality!$C$2:$C$129=selected_trust_ca_name_xc_cosd)*(ROW(trust_cosd_quality!$C$2:$C$129)-ROW(trust_cosd_quality!$C$1)),ROWS($F$36:F38))),"")</f>
        <v>0</v>
      </c>
      <c r="G39" s="103" cm="1">
        <f t="array" aca="1" ref="G39" ca="1">IF(ROWS($G$36:G38)&lt;=n_trusts_in_CA_xc_cosd, INDEX(trust_cosd_quality!$S$2:$S$129,_xlfn.AGGREGATE(15,3,(trust_cosd_quality!$C$2:$C$129=selected_trust_ca_name_xc_cosd)/(trust_cosd_quality!$C$2:$C$129=selected_trust_ca_name_xc_cosd)*(ROW(trust_cosd_quality!$C$2:$C$129)-ROW(trust_cosd_quality!$C$1)),ROWS($G$36:G38))),"")</f>
        <v>59</v>
      </c>
      <c r="H39" s="4"/>
    </row>
    <row r="40" spans="2:8" x14ac:dyDescent="0.35">
      <c r="C40" s="101" t="str" cm="1">
        <f t="array" aca="1" ref="C40" ca="1">IF(ROWS($C$36:C39)&lt;=n_trusts_in_CA_xc_cosd, INDEX(trust_cosd_quality!$A$2:$A$129,_xlfn.AGGREGATE(15,3,(trust_cosd_quality!$C$2:$C$129=selected_trust_ca_name_xc_cosd)/(trust_cosd_quality!$C$2:$C$129=selected_trust_ca_name_xc_cosd)*(ROW(trust_cosd_quality!$C$2:$C$129)-ROW(trust_cosd_quality!$C$1)),ROWS($C$36:C39))),"")</f>
        <v>Harrogate and District NHS Foundation Trust</v>
      </c>
      <c r="E40" s="123" cm="1">
        <f t="array" aca="1" ref="E40" ca="1">IF(ROWS($E$36:E39)&lt;=n_trusts_in_CA_xc_cosd, INDEX(trust_cosd_quality!$T$2:$T$129,_xlfn.AGGREGATE(15,3,(trust_cosd_quality!$C$2:$C$129=selected_trust_ca_name_xc_cosd)/(trust_cosd_quality!$C$2:$C$129=selected_trust_ca_name_xc_cosd)*(ROW(trust_cosd_quality!$C$2:$C$129)-ROW(trust_cosd_quality!$C$1)),ROWS($E$36:E39))),"")</f>
        <v>11</v>
      </c>
      <c r="F40" s="107" cm="1">
        <f t="array" aca="1" ref="F40" ca="1">IF(ROWS($F$36:F39)&lt;=n_trusts_in_CA_xc_cosd, INDEX(trust_cosd_quality!$R$2:$R$129,_xlfn.AGGREGATE(15,3,(trust_cosd_quality!$C$2:$C$129=selected_trust_ca_name_xc_cosd)/(trust_cosd_quality!$C$2:$C$129=selected_trust_ca_name_xc_cosd)*(ROW(trust_cosd_quality!$C$2:$C$129)-ROW(trust_cosd_quality!$C$1)),ROWS($F$36:F39))),"")</f>
        <v>0</v>
      </c>
      <c r="G40" s="103" cm="1">
        <f t="array" aca="1" ref="G40" ca="1">IF(ROWS($G$36:G39)&lt;=n_trusts_in_CA_xc_cosd, INDEX(trust_cosd_quality!$S$2:$S$129,_xlfn.AGGREGATE(15,3,(trust_cosd_quality!$C$2:$C$129=selected_trust_ca_name_xc_cosd)/(trust_cosd_quality!$C$2:$C$129=selected_trust_ca_name_xc_cosd)*(ROW(trust_cosd_quality!$C$2:$C$129)-ROW(trust_cosd_quality!$C$1)),ROWS($G$36:G39))),"")</f>
        <v>78</v>
      </c>
    </row>
    <row r="41" spans="2:8" x14ac:dyDescent="0.35">
      <c r="C41" s="101" t="str" cm="1">
        <f t="array" aca="1" ref="C41" ca="1">IF(ROWS($C$36:C40)&lt;=n_trusts_in_CA_xc_cosd, INDEX(trust_cosd_quality!$A$2:$A$129,_xlfn.AGGREGATE(15,3,(trust_cosd_quality!$C$2:$C$129=selected_trust_ca_name_xc_cosd)/(trust_cosd_quality!$C$2:$C$129=selected_trust_ca_name_xc_cosd)*(ROW(trust_cosd_quality!$C$2:$C$129)-ROW(trust_cosd_quality!$C$1)),ROWS($C$36:C40))),"")</f>
        <v>Leeds Teaching Hospitals NHS Trust</v>
      </c>
      <c r="E41" s="123" cm="1">
        <f t="array" aca="1" ref="E41" ca="1">IF(ROWS($E$36:E40)&lt;=n_trusts_in_CA_xc_cosd, INDEX(trust_cosd_quality!$T$2:$T$129,_xlfn.AGGREGATE(15,3,(trust_cosd_quality!$C$2:$C$129=selected_trust_ca_name_xc_cosd)/(trust_cosd_quality!$C$2:$C$129=selected_trust_ca_name_xc_cosd)*(ROW(trust_cosd_quality!$C$2:$C$129)-ROW(trust_cosd_quality!$C$1)),ROWS($E$36:E40))),"")</f>
        <v>56</v>
      </c>
      <c r="F41" s="107" cm="1">
        <f t="array" aca="1" ref="F41" ca="1">IF(ROWS($F$36:F40)&lt;=n_trusts_in_CA_xc_cosd, INDEX(trust_cosd_quality!$R$2:$R$129,_xlfn.AGGREGATE(15,3,(trust_cosd_quality!$C$2:$C$129=selected_trust_ca_name_xc_cosd)/(trust_cosd_quality!$C$2:$C$129=selected_trust_ca_name_xc_cosd)*(ROW(trust_cosd_quality!$C$2:$C$129)-ROW(trust_cosd_quality!$C$1)),ROWS($F$36:F40))),"")</f>
        <v>0</v>
      </c>
      <c r="G41" s="103" cm="1">
        <f t="array" aca="1" ref="G41" ca="1">IF(ROWS($G$36:G40)&lt;=n_trusts_in_CA_xc_cosd, INDEX(trust_cosd_quality!$S$2:$S$129,_xlfn.AGGREGATE(15,3,(trust_cosd_quality!$C$2:$C$129=selected_trust_ca_name_xc_cosd)/(trust_cosd_quality!$C$2:$C$129=selected_trust_ca_name_xc_cosd)*(ROW(trust_cosd_quality!$C$2:$C$129)-ROW(trust_cosd_quality!$C$1)),ROWS($G$36:G40))),"")</f>
        <v>85</v>
      </c>
    </row>
    <row r="42" spans="2:8" x14ac:dyDescent="0.35">
      <c r="C42" s="101" t="str" cm="1">
        <f t="array" aca="1" ref="C42" ca="1">IF(ROWS($C$36:C41)&lt;=n_trusts_in_CA_xc_cosd, INDEX(trust_cosd_quality!$A$2:$A$129,_xlfn.AGGREGATE(15,3,(trust_cosd_quality!$C$2:$C$129=selected_trust_ca_name_xc_cosd)/(trust_cosd_quality!$C$2:$C$129=selected_trust_ca_name_xc_cosd)*(ROW(trust_cosd_quality!$C$2:$C$129)-ROW(trust_cosd_quality!$C$1)),ROWS($C$36:C41))),"")</f>
        <v>Mid Yorkshire Teaching NHS Trust</v>
      </c>
      <c r="E42" s="123" cm="1">
        <f t="array" aca="1" ref="E42" ca="1">IF(ROWS($E$36:E41)&lt;=n_trusts_in_CA_xc_cosd, INDEX(trust_cosd_quality!$T$2:$T$129,_xlfn.AGGREGATE(15,3,(trust_cosd_quality!$C$2:$C$129=selected_trust_ca_name_xc_cosd)/(trust_cosd_quality!$C$2:$C$129=selected_trust_ca_name_xc_cosd)*(ROW(trust_cosd_quality!$C$2:$C$129)-ROW(trust_cosd_quality!$C$1)),ROWS($E$36:E41))),"")</f>
        <v>34</v>
      </c>
      <c r="F42" s="107" cm="1">
        <f t="array" aca="1" ref="F42" ca="1">IF(ROWS($F$36:F41)&lt;=n_trusts_in_CA_xc_cosd, INDEX(trust_cosd_quality!$R$2:$R$129,_xlfn.AGGREGATE(15,3,(trust_cosd_quality!$C$2:$C$129=selected_trust_ca_name_xc_cosd)/(trust_cosd_quality!$C$2:$C$129=selected_trust_ca_name_xc_cosd)*(ROW(trust_cosd_quality!$C$2:$C$129)-ROW(trust_cosd_quality!$C$1)),ROWS($F$36:F41))),"")</f>
        <v>0</v>
      </c>
      <c r="G42" s="103" cm="1">
        <f t="array" aca="1" ref="G42" ca="1">IF(ROWS($G$36:G41)&lt;=n_trusts_in_CA_xc_cosd, INDEX(trust_cosd_quality!$S$2:$S$129,_xlfn.AGGREGATE(15,3,(trust_cosd_quality!$C$2:$C$129=selected_trust_ca_name_xc_cosd)/(trust_cosd_quality!$C$2:$C$129=selected_trust_ca_name_xc_cosd)*(ROW(trust_cosd_quality!$C$2:$C$129)-ROW(trust_cosd_quality!$C$1)),ROWS($G$36:G41))),"")</f>
        <v>93</v>
      </c>
    </row>
    <row r="43" spans="2:8" x14ac:dyDescent="0.35">
      <c r="C43" s="101" t="str" cm="1">
        <f t="array" aca="1" ref="C43" ca="1">IF(ROWS($C$36:C42)&lt;=n_trusts_in_CA_xc_cosd, INDEX(trust_cosd_quality!$A$2:$A$129,_xlfn.AGGREGATE(15,3,(trust_cosd_quality!$C$2:$C$129=selected_trust_ca_name_xc_cosd)/(trust_cosd_quality!$C$2:$C$129=selected_trust_ca_name_xc_cosd)*(ROW(trust_cosd_quality!$C$2:$C$129)-ROW(trust_cosd_quality!$C$1)),ROWS($C$36:C42))),"")</f>
        <v/>
      </c>
      <c r="E43" s="123" t="str" cm="1">
        <f t="array" aca="1" ref="E43" ca="1">IF(ROWS($E$36:E42)&lt;=n_trusts_in_CA_xc_cosd, INDEX(trust_cosd_quality!$T$2:$T$129,_xlfn.AGGREGATE(15,3,(trust_cosd_quality!$C$2:$C$129=selected_trust_ca_name_xc_cosd)/(trust_cosd_quality!$C$2:$C$129=selected_trust_ca_name_xc_cosd)*(ROW(trust_cosd_quality!$C$2:$C$129)-ROW(trust_cosd_quality!$C$1)),ROWS($E$36:E42))),"")</f>
        <v/>
      </c>
      <c r="F43" s="107" t="str" cm="1">
        <f t="array" aca="1" ref="F43" ca="1">IF(ROWS($F$36:F42)&lt;=n_trusts_in_CA_xc_cosd, INDEX(trust_cosd_quality!$R$2:$R$129,_xlfn.AGGREGATE(15,3,(trust_cosd_quality!$C$2:$C$129=selected_trust_ca_name_xc_cosd)/(trust_cosd_quality!$C$2:$C$129=selected_trust_ca_name_xc_cosd)*(ROW(trust_cosd_quality!$C$2:$C$129)-ROW(trust_cosd_quality!$C$1)),ROWS($F$36:F42))),"")</f>
        <v/>
      </c>
      <c r="G43" s="103" t="str" cm="1">
        <f t="array" aca="1" ref="G43" ca="1">IF(ROWS($G$36:G42)&lt;=n_trusts_in_CA_xc_cosd, INDEX(trust_cosd_quality!$S$2:$S$129,_xlfn.AGGREGATE(15,3,(trust_cosd_quality!$C$2:$C$129=selected_trust_ca_name_xc_cosd)/(trust_cosd_quality!$C$2:$C$129=selected_trust_ca_name_xc_cosd)*(ROW(trust_cosd_quality!$C$2:$C$129)-ROW(trust_cosd_quality!$C$1)),ROWS($G$36:G42))),"")</f>
        <v/>
      </c>
    </row>
    <row r="44" spans="2:8" x14ac:dyDescent="0.35">
      <c r="C44" s="101" t="str" cm="1">
        <f t="array" aca="1" ref="C44" ca="1">IF(ROWS($C$36:C43)&lt;=n_trusts_in_CA_xc_cosd, INDEX(trust_cosd_quality!$A$2:$A$129,_xlfn.AGGREGATE(15,3,(trust_cosd_quality!$C$2:$C$129=selected_trust_ca_name_xc_cosd)/(trust_cosd_quality!$C$2:$C$129=selected_trust_ca_name_xc_cosd)*(ROW(trust_cosd_quality!$C$2:$C$129)-ROW(trust_cosd_quality!$C$1)),ROWS($C$36:C43))),"")</f>
        <v/>
      </c>
      <c r="E44" s="123" t="str" cm="1">
        <f t="array" aca="1" ref="E44" ca="1">IF(ROWS($E$36:E43)&lt;=n_trusts_in_CA_xc_cosd, INDEX(trust_cosd_quality!$T$2:$T$129,_xlfn.AGGREGATE(15,3,(trust_cosd_quality!$C$2:$C$129=selected_trust_ca_name_xc_cosd)/(trust_cosd_quality!$C$2:$C$129=selected_trust_ca_name_xc_cosd)*(ROW(trust_cosd_quality!$C$2:$C$129)-ROW(trust_cosd_quality!$C$1)),ROWS($E$36:E43))),"")</f>
        <v/>
      </c>
      <c r="F44" s="107" t="str" cm="1">
        <f t="array" aca="1" ref="F44" ca="1">IF(ROWS($F$36:F43)&lt;=n_trusts_in_CA_xc_cosd, INDEX(trust_cosd_quality!$R$2:$R$129,_xlfn.AGGREGATE(15,3,(trust_cosd_quality!$C$2:$C$129=selected_trust_ca_name_xc_cosd)/(trust_cosd_quality!$C$2:$C$129=selected_trust_ca_name_xc_cosd)*(ROW(trust_cosd_quality!$C$2:$C$129)-ROW(trust_cosd_quality!$C$1)),ROWS($F$36:F43))),"")</f>
        <v/>
      </c>
      <c r="G44" s="103" t="str" cm="1">
        <f t="array" aca="1" ref="G44" ca="1">IF(ROWS($G$36:G43)&lt;=n_trusts_in_CA_xc_cosd, INDEX(trust_cosd_quality!$S$2:$S$129,_xlfn.AGGREGATE(15,3,(trust_cosd_quality!$C$2:$C$129=selected_trust_ca_name_xc_cosd)/(trust_cosd_quality!$C$2:$C$129=selected_trust_ca_name_xc_cosd)*(ROW(trust_cosd_quality!$C$2:$C$129)-ROW(trust_cosd_quality!$C$1)),ROWS($G$36:G43))),"")</f>
        <v/>
      </c>
    </row>
    <row r="45" spans="2:8" x14ac:dyDescent="0.35">
      <c r="C45" s="101" t="str" cm="1">
        <f t="array" aca="1" ref="C45" ca="1">IF(ROWS($C$36:C44)&lt;=n_trusts_in_CA_xc_cosd, INDEX(trust_cosd_quality!$A$2:$A$129,_xlfn.AGGREGATE(15,3,(trust_cosd_quality!$C$2:$C$129=selected_trust_ca_name_xc_cosd)/(trust_cosd_quality!$C$2:$C$129=selected_trust_ca_name_xc_cosd)*(ROW(trust_cosd_quality!$C$2:$C$129)-ROW(trust_cosd_quality!$C$1)),ROWS($C$36:C44))),"")</f>
        <v/>
      </c>
      <c r="E45" s="123" t="str" cm="1">
        <f t="array" aca="1" ref="E45" ca="1">IF(ROWS($E$36:E44)&lt;=n_trusts_in_CA_xc_cosd, INDEX(trust_cosd_quality!$T$2:$T$129,_xlfn.AGGREGATE(15,3,(trust_cosd_quality!$C$2:$C$129=selected_trust_ca_name_xc_cosd)/(trust_cosd_quality!$C$2:$C$129=selected_trust_ca_name_xc_cosd)*(ROW(trust_cosd_quality!$C$2:$C$129)-ROW(trust_cosd_quality!$C$1)),ROWS($E$36:E44))),"")</f>
        <v/>
      </c>
      <c r="F45" s="107" t="str" cm="1">
        <f t="array" aca="1" ref="F45" ca="1">IF(ROWS($F$36:F44)&lt;=n_trusts_in_CA_xc_cosd, INDEX(trust_cosd_quality!$R$2:$R$129,_xlfn.AGGREGATE(15,3,(trust_cosd_quality!$C$2:$C$129=selected_trust_ca_name_xc_cosd)/(trust_cosd_quality!$C$2:$C$129=selected_trust_ca_name_xc_cosd)*(ROW(trust_cosd_quality!$C$2:$C$129)-ROW(trust_cosd_quality!$C$1)),ROWS($F$36:F44))),"")</f>
        <v/>
      </c>
      <c r="G45" s="103" t="str" cm="1">
        <f t="array" aca="1" ref="G45" ca="1">IF(ROWS($G$36:G44)&lt;=n_trusts_in_CA_xc_cosd, INDEX(trust_cosd_quality!$S$2:$S$129,_xlfn.AGGREGATE(15,3,(trust_cosd_quality!$C$2:$C$129=selected_trust_ca_name_xc_cosd)/(trust_cosd_quality!$C$2:$C$129=selected_trust_ca_name_xc_cosd)*(ROW(trust_cosd_quality!$C$2:$C$129)-ROW(trust_cosd_quality!$C$1)),ROWS($G$36:G44))),"")</f>
        <v/>
      </c>
    </row>
    <row r="46" spans="2:8" x14ac:dyDescent="0.35">
      <c r="C46" s="101" t="str" cm="1">
        <f t="array" aca="1" ref="C46" ca="1">IF(ROWS($C$36:C45)&lt;=n_trusts_in_CA_xc_cosd, INDEX(trust_cosd_quality!$A$2:$A$129,_xlfn.AGGREGATE(15,3,(trust_cosd_quality!$C$2:$C$129=selected_trust_ca_name_xc_cosd)/(trust_cosd_quality!$C$2:$C$129=selected_trust_ca_name_xc_cosd)*(ROW(trust_cosd_quality!$C$2:$C$129)-ROW(trust_cosd_quality!$C$1)),ROWS($C$36:C45))),"")</f>
        <v/>
      </c>
      <c r="E46" s="123" t="str" cm="1">
        <f t="array" aca="1" ref="E46" ca="1">IF(ROWS($E$36:E45)&lt;=n_trusts_in_CA_xc_cosd, INDEX(trust_cosd_quality!$T$2:$T$129,_xlfn.AGGREGATE(15,3,(trust_cosd_quality!$C$2:$C$129=selected_trust_ca_name_xc_cosd)/(trust_cosd_quality!$C$2:$C$129=selected_trust_ca_name_xc_cosd)*(ROW(trust_cosd_quality!$C$2:$C$129)-ROW(trust_cosd_quality!$C$1)),ROWS($E$36:E45))),"")</f>
        <v/>
      </c>
      <c r="F46" s="107" t="str" cm="1">
        <f t="array" aca="1" ref="F46" ca="1">IF(ROWS($F$36:F45)&lt;=n_trusts_in_CA_xc_cosd, INDEX(trust_cosd_quality!$R$2:$R$129,_xlfn.AGGREGATE(15,3,(trust_cosd_quality!$C$2:$C$129=selected_trust_ca_name_xc_cosd)/(trust_cosd_quality!$C$2:$C$129=selected_trust_ca_name_xc_cosd)*(ROW(trust_cosd_quality!$C$2:$C$129)-ROW(trust_cosd_quality!$C$1)),ROWS($F$36:F45))),"")</f>
        <v/>
      </c>
      <c r="G46" s="103" t="str" cm="1">
        <f t="array" aca="1" ref="G46" ca="1">IF(ROWS($G$36:G45)&lt;=n_trusts_in_CA_xc_cosd, INDEX(trust_cosd_quality!$S$2:$S$129,_xlfn.AGGREGATE(15,3,(trust_cosd_quality!$C$2:$C$129=selected_trust_ca_name_xc_cosd)/(trust_cosd_quality!$C$2:$C$129=selected_trust_ca_name_xc_cosd)*(ROW(trust_cosd_quality!$C$2:$C$129)-ROW(trust_cosd_quality!$C$1)),ROWS($G$36:G45))),"")</f>
        <v/>
      </c>
    </row>
    <row r="47" spans="2:8" x14ac:dyDescent="0.35">
      <c r="C47" s="101" t="str" cm="1">
        <f t="array" aca="1" ref="C47" ca="1">IF(ROWS($C$36:C46)&lt;=n_trusts_in_CA_xc_cosd, INDEX(trust_cosd_quality!$A$2:$A$129,_xlfn.AGGREGATE(15,3,(trust_cosd_quality!$C$2:$C$129=selected_trust_ca_name_xc_cosd)/(trust_cosd_quality!$C$2:$C$129=selected_trust_ca_name_xc_cosd)*(ROW(trust_cosd_quality!$C$2:$C$129)-ROW(trust_cosd_quality!$C$1)),ROWS($C$36:C46))),"")</f>
        <v/>
      </c>
      <c r="E47" s="123" t="str" cm="1">
        <f t="array" aca="1" ref="E47" ca="1">IF(ROWS($E$36:E46)&lt;=n_trusts_in_CA_xc_cosd, INDEX(trust_cosd_quality!$T$2:$T$129,_xlfn.AGGREGATE(15,3,(trust_cosd_quality!$C$2:$C$129=selected_trust_ca_name_xc_cosd)/(trust_cosd_quality!$C$2:$C$129=selected_trust_ca_name_xc_cosd)*(ROW(trust_cosd_quality!$C$2:$C$129)-ROW(trust_cosd_quality!$C$1)),ROWS($E$36:E46))),"")</f>
        <v/>
      </c>
      <c r="F47" s="107" t="str" cm="1">
        <f t="array" aca="1" ref="F47" ca="1">IF(ROWS($F$36:F46)&lt;=n_trusts_in_CA_xc_cosd, INDEX(trust_cosd_quality!$R$2:$R$129,_xlfn.AGGREGATE(15,3,(trust_cosd_quality!$C$2:$C$129=selected_trust_ca_name_xc_cosd)/(trust_cosd_quality!$C$2:$C$129=selected_trust_ca_name_xc_cosd)*(ROW(trust_cosd_quality!$C$2:$C$129)-ROW(trust_cosd_quality!$C$1)),ROWS($F$36:F46))),"")</f>
        <v/>
      </c>
      <c r="G47" s="103" t="str" cm="1">
        <f t="array" aca="1" ref="G47" ca="1">IF(ROWS($G$36:G46)&lt;=n_trusts_in_CA_xc_cosd, INDEX(trust_cosd_quality!$S$2:$S$129,_xlfn.AGGREGATE(15,3,(trust_cosd_quality!$C$2:$C$129=selected_trust_ca_name_xc_cosd)/(trust_cosd_quality!$C$2:$C$129=selected_trust_ca_name_xc_cosd)*(ROW(trust_cosd_quality!$C$2:$C$129)-ROW(trust_cosd_quality!$C$1)),ROWS($G$36:G46))),"")</f>
        <v/>
      </c>
    </row>
    <row r="48" spans="2:8" x14ac:dyDescent="0.35">
      <c r="C48" s="101" t="str" cm="1">
        <f t="array" aca="1" ref="C48" ca="1">IF(ROWS($C$36:C47)&lt;=n_trusts_in_CA_xc_cosd, INDEX(trust_cosd_quality!$A$2:$A$129,_xlfn.AGGREGATE(15,3,(trust_cosd_quality!$C$2:$C$129=selected_trust_ca_name_xc_cosd)/(trust_cosd_quality!$C$2:$C$129=selected_trust_ca_name_xc_cosd)*(ROW(trust_cosd_quality!$C$2:$C$129)-ROW(trust_cosd_quality!$C$1)),ROWS($C$36:C47))),"")</f>
        <v/>
      </c>
      <c r="E48" s="123" t="str" cm="1">
        <f t="array" aca="1" ref="E48" ca="1">IF(ROWS($E$36:E47)&lt;=n_trusts_in_CA_xc_cosd, INDEX(trust_cosd_quality!$T$2:$T$129,_xlfn.AGGREGATE(15,3,(trust_cosd_quality!$C$2:$C$129=selected_trust_ca_name_xc_cosd)/(trust_cosd_quality!$C$2:$C$129=selected_trust_ca_name_xc_cosd)*(ROW(trust_cosd_quality!$C$2:$C$129)-ROW(trust_cosd_quality!$C$1)),ROWS($E$36:E47))),"")</f>
        <v/>
      </c>
      <c r="F48" s="107" t="str" cm="1">
        <f t="array" aca="1" ref="F48" ca="1">IF(ROWS($F$36:F47)&lt;=n_trusts_in_CA_xc_cosd, INDEX(trust_cosd_quality!$R$2:$R$129,_xlfn.AGGREGATE(15,3,(trust_cosd_quality!$C$2:$C$129=selected_trust_ca_name_xc_cosd)/(trust_cosd_quality!$C$2:$C$129=selected_trust_ca_name_xc_cosd)*(ROW(trust_cosd_quality!$C$2:$C$129)-ROW(trust_cosd_quality!$C$1)),ROWS($F$36:F47))),"")</f>
        <v/>
      </c>
      <c r="G48" s="103" t="str" cm="1">
        <f t="array" aca="1" ref="G48" ca="1">IF(ROWS($G$36:G47)&lt;=n_trusts_in_CA_xc_cosd, INDEX(trust_cosd_quality!$S$2:$S$129,_xlfn.AGGREGATE(15,3,(trust_cosd_quality!$C$2:$C$129=selected_trust_ca_name_xc_cosd)/(trust_cosd_quality!$C$2:$C$129=selected_trust_ca_name_xc_cosd)*(ROW(trust_cosd_quality!$C$2:$C$129)-ROW(trust_cosd_quality!$C$1)),ROWS($G$36:G47))),"")</f>
        <v/>
      </c>
    </row>
    <row r="49" spans="3:7" x14ac:dyDescent="0.35">
      <c r="C49" s="101" t="str" cm="1">
        <f t="array" aca="1" ref="C49" ca="1">IF(ROWS($C$36:C48)&lt;=n_trusts_in_CA_xc_cosd, INDEX(trust_cosd_quality!$A$2:$A$129,_xlfn.AGGREGATE(15,3,(trust_cosd_quality!$C$2:$C$129=selected_trust_ca_name_xc_cosd)/(trust_cosd_quality!$C$2:$C$129=selected_trust_ca_name_xc_cosd)*(ROW(trust_cosd_quality!$C$2:$C$129)-ROW(trust_cosd_quality!$C$1)),ROWS($C$36:C48))),"")</f>
        <v/>
      </c>
      <c r="E49" s="123" t="str" cm="1">
        <f t="array" aca="1" ref="E49" ca="1">IF(ROWS($E$36:E48)&lt;=n_trusts_in_CA_xc_cosd, INDEX(trust_cosd_quality!$T$2:$T$129,_xlfn.AGGREGATE(15,3,(trust_cosd_quality!$C$2:$C$129=selected_trust_ca_name_xc_cosd)/(trust_cosd_quality!$C$2:$C$129=selected_trust_ca_name_xc_cosd)*(ROW(trust_cosd_quality!$C$2:$C$129)-ROW(trust_cosd_quality!$C$1)),ROWS($E$36:E48))),"")</f>
        <v/>
      </c>
      <c r="F49" s="107" t="str" cm="1">
        <f t="array" aca="1" ref="F49" ca="1">IF(ROWS($F$36:F48)&lt;=n_trusts_in_CA_xc_cosd, INDEX(trust_cosd_quality!$R$2:$R$129,_xlfn.AGGREGATE(15,3,(trust_cosd_quality!$C$2:$C$129=selected_trust_ca_name_xc_cosd)/(trust_cosd_quality!$C$2:$C$129=selected_trust_ca_name_xc_cosd)*(ROW(trust_cosd_quality!$C$2:$C$129)-ROW(trust_cosd_quality!$C$1)),ROWS($F$36:F48))),"")</f>
        <v/>
      </c>
      <c r="G49" s="103" t="str" cm="1">
        <f t="array" aca="1" ref="G49" ca="1">IF(ROWS($G$36:G48)&lt;=n_trusts_in_CA_xc_cosd, INDEX(trust_cosd_quality!$S$2:$S$129,_xlfn.AGGREGATE(15,3,(trust_cosd_quality!$C$2:$C$129=selected_trust_ca_name_xc_cosd)/(trust_cosd_quality!$C$2:$C$129=selected_trust_ca_name_xc_cosd)*(ROW(trust_cosd_quality!$C$2:$C$129)-ROW(trust_cosd_quality!$C$1)),ROWS($G$36:G48))),"")</f>
        <v/>
      </c>
    </row>
    <row r="50" spans="3:7" x14ac:dyDescent="0.35">
      <c r="C50" s="124" t="str" cm="1">
        <f t="array" aca="1" ref="C50" ca="1">IF(ROWS($C$36:C49)&lt;=n_trusts_in_CA_xc_cosd, INDEX(trust_cosd_quality!$A$2:$A$129,_xlfn.AGGREGATE(15,3,(trust_cosd_quality!$C$2:$C$129=selected_trust_ca_name_xc_cosd)/(trust_cosd_quality!$C$2:$C$129=selected_trust_ca_name_xc_cosd)*(ROW(trust_cosd_quality!$C$2:$C$129)-ROW(trust_cosd_quality!$C$1)),ROWS($C$36:C49))),"")</f>
        <v/>
      </c>
      <c r="D50" s="7"/>
      <c r="E50" s="125" t="str" cm="1">
        <f t="array" aca="1" ref="E50" ca="1">IF(ROWS($E$36:E49)&lt;=n_trusts_in_CA_xc_cosd, INDEX(trust_cosd_quality!$T$2:$T$129,_xlfn.AGGREGATE(15,3,(trust_cosd_quality!$C$2:$C$129=selected_trust_ca_name_xc_cosd)/(trust_cosd_quality!$C$2:$C$129=selected_trust_ca_name_xc_cosd)*(ROW(trust_cosd_quality!$C$2:$C$129)-ROW(trust_cosd_quality!$C$1)),ROWS($E$36:E49))),"")</f>
        <v/>
      </c>
      <c r="F50" s="109" t="str" cm="1">
        <f t="array" aca="1" ref="F50" ca="1">IF(ROWS($F$36:F49)&lt;=n_trusts_in_CA_xc_cosd, INDEX(trust_cosd_quality!$R$2:$R$129,_xlfn.AGGREGATE(15,3,(trust_cosd_quality!$C$2:$C$129=selected_trust_ca_name_xc_cosd)/(trust_cosd_quality!$C$2:$C$129=selected_trust_ca_name_xc_cosd)*(ROW(trust_cosd_quality!$C$2:$C$129)-ROW(trust_cosd_quality!$C$1)),ROWS($F$36:F49))),"")</f>
        <v/>
      </c>
      <c r="G50" s="126" t="str" cm="1">
        <f t="array" aca="1" ref="G50" ca="1">IF(ROWS($G$36:G49)&lt;=n_trusts_in_CA_xc_cosd, INDEX(trust_cosd_quality!$S$2:$S$129,_xlfn.AGGREGATE(15,3,(trust_cosd_quality!$C$2:$C$129=selected_trust_ca_name_xc_cosd)/(trust_cosd_quality!$C$2:$C$129=selected_trust_ca_name_xc_cosd)*(ROW(trust_cosd_quality!$C$2:$C$129)-ROW(trust_cosd_quality!$C$1)),ROWS($G$36:G49))),"")</f>
        <v/>
      </c>
    </row>
    <row r="51" spans="3:7" x14ac:dyDescent="0.35">
      <c r="C51" s="4" t="str" cm="1">
        <f t="array" aca="1" ref="C51" ca="1">IF(ROWS($C$36:C50)&lt;=n_trusts_in_CA_xc_cosd, INDEX(trust_cosd_quality!$A$2:$A$129,_xlfn.AGGREGATE(15,3,(trust_cosd_quality!$C$2:$C$129=selected_trust_ca_name_xc_cosd)/(trust_cosd_quality!$C$2:$C$129=selected_trust_ca_name_xc_cosd)*(ROW(trust_cosd_quality!$C$2:$C$129)-ROW(trust_cosd_quality!$C$1)),ROWS($C$36:C50))),"")</f>
        <v/>
      </c>
      <c r="E51" s="98" t="str" cm="1">
        <f t="array" aca="1" ref="E51" ca="1">IF(ROWS($E$36:E50)&lt;=n_trusts_in_CA_xc_cosd, INDEX(trust_cosd_quality!$T$2:$T$129,_xlfn.AGGREGATE(15,3,(trust_cosd_quality!$C$2:$C$129=selected_trust_ca_name_xc_cosd)/(trust_cosd_quality!$C$2:$C$129=selected_trust_ca_name_xc_cosd)*(ROW(trust_cosd_quality!$C$2:$C$129)-ROW(trust_cosd_quality!$C$1)),ROWS($E$36:E50))),"")</f>
        <v/>
      </c>
      <c r="F51" s="99" t="str" cm="1">
        <f t="array" aca="1" ref="F51" ca="1">IF(ROWS($F$36:F50)&lt;=n_trusts_in_CA_xc_cosd, INDEX(trust_cosd_quality!$R$2:$R$129,_xlfn.AGGREGATE(15,3,(trust_cosd_quality!$C$2:$C$129=selected_trust_ca_name_xc_cosd)/(trust_cosd_quality!$C$2:$C$129=selected_trust_ca_name_xc_cosd)*(ROW(trust_cosd_quality!$C$2:$C$129)-ROW(trust_cosd_quality!$C$1)),ROWS($F$36:F50))),"")</f>
        <v/>
      </c>
      <c r="G51" s="100" t="str" cm="1">
        <f t="array" aca="1" ref="G51" ca="1">IF(ROWS($G$36:G50)&lt;=n_trusts_in_CA_xc_cosd, INDEX(trust_cosd_quality!$S$2:$S$129,_xlfn.AGGREGATE(15,3,(trust_cosd_quality!$C$2:$C$129=selected_trust_ca_name_xc_cosd)/(trust_cosd_quality!$C$2:$C$129=selected_trust_ca_name_xc_cosd)*(ROW(trust_cosd_quality!$C$2:$C$129)-ROW(trust_cosd_quality!$C$1)),ROWS($G$36:G50))),"")</f>
        <v/>
      </c>
    </row>
    <row r="52" spans="3:7" x14ac:dyDescent="0.35">
      <c r="C52" s="4" t="str" cm="1">
        <f t="array" aca="1" ref="C52" ca="1">IF(ROWS($C$36:C51)&lt;=n_trusts_in_CA_xc_cosd, INDEX(trust_cosd_quality!$A$2:$A$129,_xlfn.AGGREGATE(15,3,(trust_cosd_quality!$C$2:$C$129=selected_trust_ca_name_xc_cosd)/(trust_cosd_quality!$C$2:$C$129=selected_trust_ca_name_xc_cosd)*(ROW(trust_cosd_quality!$C$2:$C$129)-ROW(trust_cosd_quality!$C$1)),ROWS($C$36:C51))),"")</f>
        <v/>
      </c>
      <c r="E52" s="98" t="str" cm="1">
        <f t="array" aca="1" ref="E52" ca="1">IF(ROWS($E$36:E51)&lt;=n_trusts_in_CA_xc_cosd, INDEX(trust_cosd_quality!$T$2:$T$129,_xlfn.AGGREGATE(15,3,(trust_cosd_quality!$C$2:$C$129=selected_trust_ca_name_xc_cosd)/(trust_cosd_quality!$C$2:$C$129=selected_trust_ca_name_xc_cosd)*(ROW(trust_cosd_quality!$C$2:$C$129)-ROW(trust_cosd_quality!$C$1)),ROWS($E$36:E51))),"")</f>
        <v/>
      </c>
      <c r="F52" s="99" t="str" cm="1">
        <f t="array" aca="1" ref="F52" ca="1">IF(ROWS($F$36:F51)&lt;=n_trusts_in_CA_xc_cosd, INDEX(trust_cosd_quality!$R$2:$R$129,_xlfn.AGGREGATE(15,3,(trust_cosd_quality!$C$2:$C$129=selected_trust_ca_name_xc_cosd)/(trust_cosd_quality!$C$2:$C$129=selected_trust_ca_name_xc_cosd)*(ROW(trust_cosd_quality!$C$2:$C$129)-ROW(trust_cosd_quality!$C$1)),ROWS($F$36:F51))),"")</f>
        <v/>
      </c>
      <c r="G52" s="100" t="str" cm="1">
        <f t="array" aca="1" ref="G52" ca="1">IF(ROWS($G$36:G51)&lt;=n_trusts_in_CA_xc_cosd, INDEX(trust_cosd_quality!$S$2:$S$129,_xlfn.AGGREGATE(15,3,(trust_cosd_quality!$C$2:$C$129=selected_trust_ca_name_xc_cosd)/(trust_cosd_quality!$C$2:$C$129=selected_trust_ca_name_xc_cosd)*(ROW(trust_cosd_quality!$C$2:$C$129)-ROW(trust_cosd_quality!$C$1)),ROWS($G$36:G51))),"")</f>
        <v/>
      </c>
    </row>
    <row r="53" spans="3:7" x14ac:dyDescent="0.35">
      <c r="C53" s="4" t="str" cm="1">
        <f t="array" aca="1" ref="C53" ca="1">IF(ROWS($C$36:C52)&lt;=n_trusts_in_CA_xc_cosd, INDEX(trust_cosd_quality!$A$2:$A$129,_xlfn.AGGREGATE(15,3,(trust_cosd_quality!$C$2:$C$129=selected_trust_ca_name_xc_cosd)/(trust_cosd_quality!$C$2:$C$129=selected_trust_ca_name_xc_cosd)*(ROW(trust_cosd_quality!$C$2:$C$129)-ROW(trust_cosd_quality!$C$1)),ROWS($C$36:C52))),"")</f>
        <v/>
      </c>
      <c r="E53" s="98" t="str" cm="1">
        <f t="array" aca="1" ref="E53" ca="1">IF(ROWS($E$36:E52)&lt;=n_trusts_in_CA_xc_cosd, INDEX(trust_cosd_quality!$T$2:$T$129,_xlfn.AGGREGATE(15,3,(trust_cosd_quality!$C$2:$C$129=selected_trust_ca_name_xc_cosd)/(trust_cosd_quality!$C$2:$C$129=selected_trust_ca_name_xc_cosd)*(ROW(trust_cosd_quality!$C$2:$C$129)-ROW(trust_cosd_quality!$C$1)),ROWS($E$36:E52))),"")</f>
        <v/>
      </c>
      <c r="F53" s="99" t="str" cm="1">
        <f t="array" aca="1" ref="F53" ca="1">IF(ROWS($F$36:F52)&lt;=n_trusts_in_CA_xc_cosd, INDEX(trust_cosd_quality!$R$2:$R$129,_xlfn.AGGREGATE(15,3,(trust_cosd_quality!$C$2:$C$129=selected_trust_ca_name_xc_cosd)/(trust_cosd_quality!$C$2:$C$129=selected_trust_ca_name_xc_cosd)*(ROW(trust_cosd_quality!$C$2:$C$129)-ROW(trust_cosd_quality!$C$1)),ROWS($F$36:F52))),"")</f>
        <v/>
      </c>
      <c r="G53" s="100" t="str" cm="1">
        <f t="array" aca="1" ref="G53" ca="1">IF(ROWS($G$36:G52)&lt;=n_trusts_in_CA_xc_cosd, INDEX(trust_cosd_quality!$S$2:$S$129,_xlfn.AGGREGATE(15,3,(trust_cosd_quality!$C$2:$C$129=selected_trust_ca_name_xc_cosd)/(trust_cosd_quality!$C$2:$C$129=selected_trust_ca_name_xc_cosd)*(ROW(trust_cosd_quality!$C$2:$C$129)-ROW(trust_cosd_quality!$C$1)),ROWS($G$36:G52))),"")</f>
        <v/>
      </c>
    </row>
    <row r="64" spans="3:7" x14ac:dyDescent="0.35">
      <c r="C64" s="4"/>
      <c r="F64" s="30"/>
    </row>
    <row r="65" spans="3:6" x14ac:dyDescent="0.35">
      <c r="C65" s="4"/>
      <c r="F65" s="30"/>
    </row>
    <row r="66" spans="3:6" x14ac:dyDescent="0.35">
      <c r="C66" s="4"/>
      <c r="F66" s="30"/>
    </row>
    <row r="67" spans="3:6" x14ac:dyDescent="0.35">
      <c r="C67" s="4"/>
      <c r="F67" s="30"/>
    </row>
    <row r="68" spans="3:6" x14ac:dyDescent="0.35">
      <c r="C68" s="4"/>
      <c r="F68" s="30"/>
    </row>
    <row r="69" spans="3:6" x14ac:dyDescent="0.35">
      <c r="C69" s="4"/>
      <c r="F69" s="30"/>
    </row>
    <row r="70" spans="3:6" x14ac:dyDescent="0.35">
      <c r="C70" s="4"/>
      <c r="F70" s="30"/>
    </row>
    <row r="71" spans="3:6" x14ac:dyDescent="0.35">
      <c r="C71" s="4"/>
      <c r="F71" s="30"/>
    </row>
    <row r="72" spans="3:6" x14ac:dyDescent="0.35">
      <c r="C72" s="4"/>
      <c r="F72" s="30"/>
    </row>
    <row r="73" spans="3:6" x14ac:dyDescent="0.35">
      <c r="C73" s="4"/>
      <c r="F73" s="30"/>
    </row>
    <row r="74" spans="3:6" x14ac:dyDescent="0.35">
      <c r="C74" s="4"/>
      <c r="F74" s="30"/>
    </row>
    <row r="75" spans="3:6" x14ac:dyDescent="0.35">
      <c r="C75" s="4"/>
      <c r="F75" s="30"/>
    </row>
    <row r="76" spans="3:6" x14ac:dyDescent="0.35">
      <c r="C76" s="4"/>
      <c r="F76" s="30"/>
    </row>
    <row r="77" spans="3:6" x14ac:dyDescent="0.35">
      <c r="C77" s="4"/>
      <c r="F77" s="30"/>
    </row>
    <row r="78" spans="3:6" x14ac:dyDescent="0.35">
      <c r="C78" s="4"/>
      <c r="F78" s="30"/>
    </row>
    <row r="79" spans="3:6" x14ac:dyDescent="0.35">
      <c r="C79" s="4"/>
      <c r="F79" s="30"/>
    </row>
    <row r="80" spans="3:6" x14ac:dyDescent="0.35">
      <c r="C80" s="4"/>
      <c r="F80" s="30"/>
    </row>
    <row r="81" spans="3:6" x14ac:dyDescent="0.35">
      <c r="C81" s="4"/>
      <c r="F81" s="30"/>
    </row>
    <row r="82" spans="3:6" x14ac:dyDescent="0.35">
      <c r="C82" s="4"/>
      <c r="F82" s="30"/>
    </row>
    <row r="83" spans="3:6" x14ac:dyDescent="0.35">
      <c r="C83" s="4"/>
      <c r="F83" s="30"/>
    </row>
    <row r="84" spans="3:6" x14ac:dyDescent="0.35">
      <c r="C84" s="4"/>
      <c r="F84" s="30"/>
    </row>
    <row r="85" spans="3:6" x14ac:dyDescent="0.35">
      <c r="C85" s="4"/>
      <c r="F85" s="30"/>
    </row>
    <row r="86" spans="3:6" x14ac:dyDescent="0.35">
      <c r="C86" s="4"/>
      <c r="F86" s="30"/>
    </row>
    <row r="87" spans="3:6" x14ac:dyDescent="0.35">
      <c r="C87" s="4"/>
      <c r="F87" s="30"/>
    </row>
    <row r="96" spans="3:6" ht="15" customHeight="1" x14ac:dyDescent="0.35"/>
    <row r="117" spans="16:16" x14ac:dyDescent="0.35">
      <c r="P117" s="1"/>
    </row>
  </sheetData>
  <mergeCells count="16">
    <mergeCell ref="I5:J6"/>
    <mergeCell ref="I8:J9"/>
    <mergeCell ref="I15:J15"/>
    <mergeCell ref="I10:J10"/>
    <mergeCell ref="I18:J18"/>
    <mergeCell ref="E35:E36"/>
    <mergeCell ref="C35:C36"/>
    <mergeCell ref="I22:N23"/>
    <mergeCell ref="G35:G36"/>
    <mergeCell ref="G24:G26"/>
    <mergeCell ref="C16:F16"/>
    <mergeCell ref="C10:F10"/>
    <mergeCell ref="B22:G23"/>
    <mergeCell ref="B32:G33"/>
    <mergeCell ref="E24:E26"/>
    <mergeCell ref="C18:F19"/>
  </mergeCells>
  <conditionalFormatting sqref="F27">
    <cfRule type="iconSet" priority="243">
      <iconSet iconSet="3Symbols2">
        <cfvo type="percent" val="0"/>
        <cfvo type="formula" val="$I$20"/>
        <cfvo type="num" val="$I$20" gte="0"/>
      </iconSet>
    </cfRule>
  </conditionalFormatting>
  <conditionalFormatting sqref="F27:F29">
    <cfRule type="expression" dxfId="43" priority="244">
      <formula>$I$20="NA"</formula>
    </cfRule>
    <cfRule type="cellIs" dxfId="42" priority="245" operator="equal">
      <formula>""</formula>
    </cfRule>
    <cfRule type="cellIs" dxfId="41" priority="246" operator="equal">
      <formula>$I$20</formula>
    </cfRule>
    <cfRule type="cellIs" dxfId="40" priority="247" operator="lessThan">
      <formula>$I$20</formula>
    </cfRule>
    <cfRule type="cellIs" dxfId="39" priority="248" operator="greaterThan">
      <formula>$I$20</formula>
    </cfRule>
  </conditionalFormatting>
  <conditionalFormatting sqref="F28">
    <cfRule type="iconSet" priority="249">
      <iconSet iconSet="3Symbols2">
        <cfvo type="percent" val="0"/>
        <cfvo type="formula" val="$I$20"/>
        <cfvo type="num" val="$I$20" gte="0"/>
      </iconSet>
    </cfRule>
  </conditionalFormatting>
  <conditionalFormatting sqref="F29">
    <cfRule type="iconSet" priority="250">
      <iconSet iconSet="3Symbols2">
        <cfvo type="percent" val="0"/>
        <cfvo type="formula" val="$I$20"/>
        <cfvo type="num" val="$I$20" gte="0"/>
      </iconSet>
    </cfRule>
  </conditionalFormatting>
  <conditionalFormatting sqref="F37:F53">
    <cfRule type="expression" dxfId="38" priority="251">
      <formula>$I$20="NA"</formula>
    </cfRule>
    <cfRule type="iconSet" priority="252">
      <iconSet iconSet="3Symbols2">
        <cfvo type="percent" val="0"/>
        <cfvo type="formula" val="$I$20"/>
        <cfvo type="num" val="$I$20" gte="0"/>
      </iconSet>
    </cfRule>
    <cfRule type="cellIs" dxfId="37" priority="253" operator="equal">
      <formula>""</formula>
    </cfRule>
    <cfRule type="cellIs" dxfId="36" priority="254" operator="equal">
      <formula>$I$20</formula>
    </cfRule>
    <cfRule type="cellIs" dxfId="35" priority="255" operator="lessThan">
      <formula>$I$20</formula>
    </cfRule>
    <cfRule type="cellIs" dxfId="34" priority="256" operator="greaterThan">
      <formula>$I$20</formula>
    </cfRule>
  </conditionalFormatting>
  <hyperlinks>
    <hyperlink ref="I10:J10" location="methods_icd" display="Further information on ICD codes used to define patient cohort can be found here in Explanatory Notes worksheet." xr:uid="{D10B6EBD-28A7-4E97-A3D6-828E251A0C61}"/>
    <hyperlink ref="I18:J18" r:id="rId1" location="top" display="Please refer to COSD data dictionary version 9.0.1 here for further information on this data variable  " xr:uid="{66DD4CB0-80C0-4E45-93C3-DC697FE5DB12}"/>
  </hyperlinks>
  <pageMargins left="0.70866141732283472" right="0.70866141732283472" top="0.74803149606299213" bottom="0.74803149606299213" header="0.31496062992125984" footer="0.31496062992125984"/>
  <pageSetup paperSize="9" scale="46"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FC5CA75-E55C-4F16-A5F2-EBE8F2409AFB}">
          <x14:formula1>
            <xm:f>Lists!$B$25:$B$33</xm:f>
          </x14:formula1>
          <xm:sqref>C16:F16</xm:sqref>
        </x14:dataValidation>
        <x14:dataValidation type="list" allowBlank="1" showInputMessage="1" showErrorMessage="1" xr:uid="{BE102F34-FE81-4FF3-BC99-DB2BCB70DE8E}">
          <x14:formula1>
            <xm:f>Lists!$B$61:$B$184</xm:f>
          </x14:formula1>
          <xm:sqref>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1060-F751-4261-926F-E1D01055A44A}">
  <sheetPr>
    <pageSetUpPr fitToPage="1"/>
  </sheetPr>
  <dimension ref="A1:Q118"/>
  <sheetViews>
    <sheetView showGridLines="0" zoomScale="80" zoomScaleNormal="80" workbookViewId="0">
      <selection activeCell="A16" sqref="A16:XFD16"/>
    </sheetView>
  </sheetViews>
  <sheetFormatPr defaultRowHeight="14.5" x14ac:dyDescent="0.35"/>
  <cols>
    <col min="1" max="1" width="3.81640625" customWidth="1"/>
    <col min="2" max="2" width="3.54296875" customWidth="1"/>
    <col min="3" max="3" width="46.81640625" customWidth="1"/>
    <col min="4" max="4" width="20.453125" customWidth="1"/>
    <col min="5" max="5" width="18.453125" bestFit="1" customWidth="1"/>
    <col min="6" max="6" width="23.26953125" bestFit="1" customWidth="1"/>
    <col min="7" max="7" width="21.1796875" customWidth="1"/>
    <col min="8" max="8" width="14.26953125" customWidth="1"/>
    <col min="9" max="9" width="34.54296875" customWidth="1"/>
    <col min="10" max="10" width="81.54296875" customWidth="1"/>
    <col min="11" max="11" width="85.7265625" customWidth="1"/>
    <col min="12" max="12" width="52" customWidth="1"/>
    <col min="13" max="13" width="30.26953125" customWidth="1"/>
    <col min="14" max="14" width="23.7265625" customWidth="1"/>
    <col min="15" max="15" width="19.26953125" bestFit="1" customWidth="1"/>
    <col min="16" max="16" width="18.1796875" bestFit="1" customWidth="1"/>
    <col min="17" max="17" width="19.26953125" bestFit="1" customWidth="1"/>
  </cols>
  <sheetData>
    <row r="1" spans="1:17" x14ac:dyDescent="0.35">
      <c r="A1" t="s">
        <v>332</v>
      </c>
    </row>
    <row r="2" spans="1:17" x14ac:dyDescent="0.35">
      <c r="H2" s="1" t="s">
        <v>752</v>
      </c>
    </row>
    <row r="4" spans="1:17" x14ac:dyDescent="0.35">
      <c r="I4" s="1" t="s">
        <v>15</v>
      </c>
    </row>
    <row r="5" spans="1:17" ht="15" customHeight="1" x14ac:dyDescent="0.35">
      <c r="I5" s="151" t="str" cm="1">
        <f t="array" aca="1" ref="I5" ca="1">selected_rcrdq_num_xc</f>
        <v>Number of people in England diagnosed with non-Hodgkin lymphoma who have their ethnicity recorded</v>
      </c>
      <c r="J5" s="151"/>
      <c r="K5" s="32"/>
      <c r="L5" s="32"/>
      <c r="M5" s="32"/>
      <c r="N5" s="32"/>
      <c r="O5" s="32"/>
    </row>
    <row r="6" spans="1:17" ht="15.75" customHeight="1" x14ac:dyDescent="0.35">
      <c r="I6" s="151"/>
      <c r="J6" s="151"/>
      <c r="K6" s="32"/>
      <c r="L6" s="38"/>
      <c r="M6" s="38"/>
    </row>
    <row r="7" spans="1:17" x14ac:dyDescent="0.35">
      <c r="I7" s="1" t="s">
        <v>16</v>
      </c>
    </row>
    <row r="8" spans="1:17" ht="15" customHeight="1" x14ac:dyDescent="0.35">
      <c r="B8" s="1" t="s">
        <v>17</v>
      </c>
      <c r="I8" s="172" t="str">
        <f ca="1">selected_rcrdq_denomdescr_xc</f>
        <v>Number of people in England diagnosed with non-Hodgkin lymphoma</v>
      </c>
      <c r="J8" s="172"/>
      <c r="K8" s="88"/>
      <c r="L8" s="88"/>
      <c r="M8" s="88"/>
      <c r="N8" s="88"/>
      <c r="O8" s="88"/>
    </row>
    <row r="9" spans="1:17" ht="15" customHeight="1" thickBot="1" x14ac:dyDescent="0.4">
      <c r="B9" s="1"/>
      <c r="I9" s="172"/>
      <c r="J9" s="172"/>
      <c r="K9" s="136"/>
      <c r="L9" s="136"/>
      <c r="M9" s="136"/>
    </row>
    <row r="10" spans="1:17" ht="15" customHeight="1" thickBot="1" x14ac:dyDescent="0.4">
      <c r="C10" s="154" t="s">
        <v>31</v>
      </c>
      <c r="D10" s="155"/>
      <c r="E10" s="155"/>
      <c r="F10" s="156"/>
      <c r="I10" s="170" t="s">
        <v>753</v>
      </c>
      <c r="J10" s="170"/>
      <c r="K10" s="88"/>
      <c r="L10" s="88"/>
      <c r="M10" s="88"/>
      <c r="N10" s="88"/>
      <c r="O10" s="88"/>
    </row>
    <row r="11" spans="1:17" ht="15" customHeight="1" x14ac:dyDescent="0.35">
      <c r="J11" s="32"/>
      <c r="K11" s="32"/>
      <c r="L11" s="32"/>
      <c r="M11" s="32"/>
      <c r="N11" s="32"/>
      <c r="Q11" s="32"/>
    </row>
    <row r="12" spans="1:17" ht="15" customHeight="1" x14ac:dyDescent="0.35">
      <c r="C12" s="9" t="str" cm="1">
        <f t="array" aca="1" ref="C12" ca="1">"This selected Trust is within the "&amp;selected_trust_ca_name_xc_rcrd&amp;" Cancer Alliance"</f>
        <v>This selected Trust is within the West Yorkshire and Harrogate Cancer Alliance</v>
      </c>
      <c r="H12" s="1" t="s">
        <v>24</v>
      </c>
      <c r="J12" s="138" t="str" cm="1">
        <f t="array" aca="1" ref="J12" ca="1">selected_rcrdq_time_xc</f>
        <v>Q4 2022 to Q3 2023</v>
      </c>
      <c r="Q12" s="32"/>
    </row>
    <row r="13" spans="1:17" ht="15" customHeight="1" x14ac:dyDescent="0.35">
      <c r="I13" t="str">
        <f>"("&amp;quarter_definitions&amp;")"</f>
        <v>(Q1: 1 January – 31 March; Q2: 1 April – 30 June; Q3: 1 July – 30 September; Q4: 1 October – 31 December)</v>
      </c>
      <c r="K13" s="31"/>
      <c r="L13" s="31"/>
      <c r="Q13" s="32"/>
    </row>
    <row r="14" spans="1:17" ht="15" customHeight="1" x14ac:dyDescent="0.35">
      <c r="B14" s="1" t="s">
        <v>21</v>
      </c>
      <c r="E14" s="2"/>
      <c r="K14" s="32"/>
      <c r="L14" s="32"/>
      <c r="Q14" s="32"/>
    </row>
    <row r="15" spans="1:17" ht="15.75" customHeight="1" thickBot="1" x14ac:dyDescent="0.4">
      <c r="E15" s="2"/>
      <c r="H15" s="1" t="s">
        <v>19</v>
      </c>
      <c r="I15" s="151" t="str" cm="1">
        <f t="array" aca="1" ref="I15" ca="1">selected_rcrdq_datasource_xc</f>
        <v xml:space="preserve">Rapid Cancer Registration Dataset (RCRD) </v>
      </c>
      <c r="J15" s="151"/>
      <c r="L15" s="31"/>
      <c r="Q15" s="32"/>
    </row>
    <row r="16" spans="1:17" ht="22" customHeight="1" thickBot="1" x14ac:dyDescent="0.4">
      <c r="C16" s="154" t="s">
        <v>625</v>
      </c>
      <c r="D16" s="155"/>
      <c r="E16" s="155"/>
      <c r="F16" s="156"/>
      <c r="I16" s="159" t="s">
        <v>760</v>
      </c>
      <c r="J16" s="159"/>
      <c r="K16" s="138"/>
      <c r="L16" s="138"/>
      <c r="Q16" s="32"/>
    </row>
    <row r="17" spans="2:14" ht="14.25" customHeight="1" x14ac:dyDescent="0.35">
      <c r="E17" s="2"/>
    </row>
    <row r="18" spans="2:14" ht="15" customHeight="1" x14ac:dyDescent="0.35">
      <c r="C18" s="152" t="s">
        <v>23</v>
      </c>
      <c r="D18" s="152"/>
      <c r="E18" s="152"/>
      <c r="F18" s="152"/>
      <c r="H18" s="39" t="s">
        <v>20</v>
      </c>
      <c r="I18" s="37" t="str" cm="1">
        <f t="array" aca="1" ref="I18" ca="1">selected_rcrdq_datavar_xc</f>
        <v>ETHNICCATEGORY</v>
      </c>
      <c r="J18" s="37"/>
    </row>
    <row r="19" spans="2:14" x14ac:dyDescent="0.35">
      <c r="B19" s="5"/>
      <c r="C19" s="152"/>
      <c r="D19" s="152"/>
      <c r="E19" s="152"/>
      <c r="F19" s="152"/>
      <c r="I19" s="135" t="s">
        <v>741</v>
      </c>
      <c r="J19" s="135"/>
    </row>
    <row r="20" spans="2:14" x14ac:dyDescent="0.35">
      <c r="B20" s="5"/>
      <c r="C20" s="59"/>
      <c r="D20" s="59"/>
      <c r="E20" s="59"/>
      <c r="F20" s="59"/>
    </row>
    <row r="21" spans="2:14" x14ac:dyDescent="0.35">
      <c r="B21" s="5"/>
      <c r="C21" s="59"/>
      <c r="D21" s="59"/>
      <c r="E21" s="59"/>
      <c r="F21" s="59"/>
      <c r="H21" s="36" t="s">
        <v>22</v>
      </c>
      <c r="I21" s="51" cm="1">
        <f t="array" aca="1" ref="I21" ca="1">selected_rcrdq_target_xc</f>
        <v>0.9</v>
      </c>
    </row>
    <row r="22" spans="2:14" ht="15" customHeight="1" x14ac:dyDescent="0.35">
      <c r="E22" s="2"/>
    </row>
    <row r="23" spans="2:14" ht="15" customHeight="1" x14ac:dyDescent="0.35">
      <c r="B23" s="160" t="str">
        <f>"Table 1: "&amp;selected_rcrdq_descr_xc&amp;" between "&amp;start_date_rcrd&amp;" and "&amp;end_date_rcrd&amp;" (%)"</f>
        <v>Table 1: Data completeness for ethnicity between Q4 2022 and Q3 2023 (%)</v>
      </c>
      <c r="C23" s="160"/>
      <c r="D23" s="160"/>
      <c r="E23" s="160"/>
      <c r="F23" s="160"/>
      <c r="G23" s="160"/>
      <c r="I23" s="160" t="str">
        <f>"Figure 1: "&amp;C16&amp;" between "&amp;start_date_rcrd&amp;" and "&amp;end_date_rcrd&amp;" (%)"</f>
        <v>Figure 1: Data completeness for ethnicity between Q4 2022 and Q3 2023 (%)</v>
      </c>
      <c r="J23" s="160"/>
      <c r="K23" s="160"/>
      <c r="L23" s="160"/>
      <c r="M23" s="160"/>
      <c r="N23" s="160"/>
    </row>
    <row r="24" spans="2:14" x14ac:dyDescent="0.35">
      <c r="B24" s="160"/>
      <c r="C24" s="160"/>
      <c r="D24" s="160"/>
      <c r="E24" s="160"/>
      <c r="F24" s="160"/>
      <c r="G24" s="160"/>
      <c r="I24" s="160"/>
      <c r="J24" s="160"/>
      <c r="K24" s="160"/>
      <c r="L24" s="160"/>
      <c r="M24" s="160"/>
      <c r="N24" s="160"/>
    </row>
    <row r="25" spans="2:14" ht="15" customHeight="1" x14ac:dyDescent="0.35">
      <c r="C25" s="28"/>
      <c r="D25" s="16"/>
      <c r="E25" s="162" t="s">
        <v>25</v>
      </c>
      <c r="F25" s="15" t="s">
        <v>26</v>
      </c>
      <c r="G25" s="167" t="str" cm="1">
        <f t="array" ref="G25">"Rank (nationally, among "&amp;n_trusts&amp;" trusts/"&amp;n_ca&amp;" cancer alliances)"</f>
        <v>Rank (nationally, among 129 trusts/21 cancer alliances)</v>
      </c>
    </row>
    <row r="26" spans="2:14" x14ac:dyDescent="0.35">
      <c r="C26" s="44"/>
      <c r="E26" s="163"/>
      <c r="F26" s="88" t="str">
        <f ca="1">"Target (%): "&amp;$I$21*100</f>
        <v>Target (%): 90</v>
      </c>
      <c r="G26" s="169"/>
    </row>
    <row r="27" spans="2:14" x14ac:dyDescent="0.35">
      <c r="C27" s="29"/>
      <c r="D27" s="7"/>
      <c r="E27" s="164"/>
      <c r="F27" s="7"/>
      <c r="G27" s="168"/>
    </row>
    <row r="28" spans="2:14" x14ac:dyDescent="0.35">
      <c r="C28" s="22" t="str">
        <f>selected_trust_xc_rcrd</f>
        <v>Airedale NHS Foundation Trust</v>
      </c>
      <c r="E28" s="105" cm="1">
        <f t="array" aca="1" ref="E28" ca="1">INDEX(INDIRECT(trust_rcrdq_table),MATCH(selected_trust_xc_rcrd,INDIRECT(trust_rcrdq_rows),0),MATCH(selected_rcrdq_denom_xc,INDIRECT(trust_rcrdq_cols),0))</f>
        <v>43</v>
      </c>
      <c r="F28" s="96">
        <f ca="1">INDEX(INDIRECT(trust_rcrdq_table),MATCH(selected_trust_xc_rcrd,INDIRECT(trust_rcrdq_rows),0),MATCH(selected_rcrdq_name_xc,INDIRECT(trust_rcrdq_cols),0))</f>
        <v>0.98</v>
      </c>
      <c r="G28" s="103">
        <f ca="1">INDEX(INDIRECT(trust_rcrdq_table),MATCH(selected_trust_xc_rcrd,INDIRECT(trust_rcrdq_rows),0),MATCH(trust_rcrd_quality!$L$1,INDIRECT(trust_rcrdq_cols),0))</f>
        <v>27</v>
      </c>
    </row>
    <row r="29" spans="2:14" x14ac:dyDescent="0.35">
      <c r="C29" s="22" t="str">
        <f ca="1">selected_trust_ca_name_xc_rcrd&amp;" cancer alliance"</f>
        <v>West Yorkshire and Harrogate cancer alliance</v>
      </c>
      <c r="E29" s="105" cm="1">
        <f t="array" aca="1" ref="E29" ca="1">INDEX(INDIRECT(alliance_rcrdq_table),MATCH(selected_trust_ca_name_xc_rcrd,INDIRECT(alliance_rcrdq_rows),0),MATCH(selected_rcrdq_denom_xc,INDIRECT(alliance_rcrdq_cols),0))</f>
        <v>585</v>
      </c>
      <c r="F29" s="96">
        <f ca="1">INDEX(INDIRECT(alliance_rcrdq_table),MATCH(selected_trust_ca_name_xc_rcrd,INDIRECT(alliance_rcrdq_rows),0),MATCH(selected_rcrdq_name_xc,INDIRECT(alliance_rcrdq_cols),0))</f>
        <v>0.98</v>
      </c>
      <c r="G29" s="103">
        <f ca="1">INDEX(INDIRECT(alliance_rcrdq_table),MATCH(selected_trust_ca_name_xc_rcrd,INDIRECT(alliance_rcrdq_rows),0),MATCH(alliance_rcrd_quality!$J$1,INDIRECT(alliance_rcrdq_cols),0))</f>
        <v>1</v>
      </c>
    </row>
    <row r="30" spans="2:14" x14ac:dyDescent="0.35">
      <c r="C30" s="23" t="s">
        <v>27</v>
      </c>
      <c r="D30" s="7"/>
      <c r="E30" s="106">
        <f ca="1">INDEX(INDIRECT(national_rcrdq_table),2,MATCH(selected_rcrdq_denom_xc,INDIRECT(national_rcrdq_cols),0))</f>
        <v>13474</v>
      </c>
      <c r="F30" s="97">
        <f ca="1">INDEX(INDIRECT(national_rcrdq_table),2,MATCH(selected_rcrdq_name_xc,INDIRECT(national_rcrdq_cols),0))</f>
        <v>0.94</v>
      </c>
      <c r="G30" s="104" t="s">
        <v>28</v>
      </c>
    </row>
    <row r="31" spans="2:14" x14ac:dyDescent="0.35">
      <c r="C31" t="s">
        <v>29</v>
      </c>
    </row>
    <row r="33" spans="2:8" x14ac:dyDescent="0.35">
      <c r="B33" s="160" t="str">
        <f ca="1">"Table 2: "&amp;selected_rcrdq_descr_xc&amp;" at NHS Trusts within the "&amp;selected_trust_ca_name_xc_rcrd&amp;" Cancer Alliance"&amp;" between "&amp;start_date_rcrd&amp;" and "&amp;end_date_rcrd&amp;" (%)"</f>
        <v>Table 2: Data completeness for ethnicity at NHS Trusts within the West Yorkshire and Harrogate Cancer Alliance between Q4 2022 and Q3 2023 (%)</v>
      </c>
      <c r="C33" s="160"/>
      <c r="D33" s="160"/>
      <c r="E33" s="160"/>
      <c r="F33" s="160"/>
      <c r="G33" s="160"/>
    </row>
    <row r="34" spans="2:8" x14ac:dyDescent="0.35">
      <c r="B34" s="160"/>
      <c r="C34" s="160"/>
      <c r="D34" s="160"/>
      <c r="E34" s="160"/>
      <c r="F34" s="160"/>
      <c r="G34" s="160"/>
    </row>
    <row r="35" spans="2:8" x14ac:dyDescent="0.35">
      <c r="C35" s="1"/>
    </row>
    <row r="36" spans="2:8" x14ac:dyDescent="0.35">
      <c r="C36" s="165" t="s">
        <v>30</v>
      </c>
      <c r="D36" s="16"/>
      <c r="E36" s="162" t="s">
        <v>25</v>
      </c>
      <c r="F36" s="15" t="s">
        <v>26</v>
      </c>
      <c r="G36" s="167" t="str">
        <f>"Rank (nationally, among "&amp;_xlfn.SINGLE(n_trusts)&amp;" trusts)"</f>
        <v>Rank (nationally, among 129 trusts)</v>
      </c>
    </row>
    <row r="37" spans="2:8" x14ac:dyDescent="0.35">
      <c r="C37" s="166"/>
      <c r="D37" s="7"/>
      <c r="E37" s="164"/>
      <c r="F37" s="89" t="str">
        <f ca="1">"Target (%): "&amp;$I$21*100</f>
        <v>Target (%): 90</v>
      </c>
      <c r="G37" s="168"/>
    </row>
    <row r="38" spans="2:8" x14ac:dyDescent="0.35">
      <c r="C38" s="101" t="str" cm="1">
        <f t="array" aca="1" ref="C38" ca="1">IF(ROWS($C$37:C37)&lt;=n_trusts_in_CA_xc_rcrd, INDEX(trust_rcrd_quality!$A$2:$A$130,_xlfn.AGGREGATE(15,3,(trust_rcrd_quality!$C$2:$C$130=selected_trust_ca_name_xc_rcrd)/(trust_rcrd_quality!$C$2:$C$130=selected_trust_ca_name_xc_rcrd)*(ROW(trust_rcrd_quality!$C$2:$C$130)-ROW(trust_rcrd_quality!$C$1)),ROWS($C$37:C37))),"")</f>
        <v>Airedale NHS Foundation Trust</v>
      </c>
      <c r="E38" s="123" cm="1">
        <f t="array" aca="1" ref="E38" ca="1">IF(ROWS($E$37:E37)&lt;=n_trusts_in_CA_xc_rcrd, INDEX(trust_rcrd_quality!$M$2:$M$130,_xlfn.AGGREGATE(15,3,(trust_rcrd_quality!$C$2:$C$130=selected_trust_ca_name_xc_rcrd)/(trust_rcrd_quality!$C$2:$C$130=selected_trust_ca_name_xc_rcrd)*(ROW(trust_rcrd_quality!$C$2:$C$130)-ROW(trust_rcrd_quality!$C$1)),ROWS($E$37:E37))),"")</f>
        <v>43</v>
      </c>
      <c r="F38" s="107" cm="1">
        <f t="array" aca="1" ref="F38" ca="1">IF(ROWS($F$37:F37)&lt;=n_trusts_in_CA_xc_rcrd, INDEX(trust_rcrd_quality!$K$2:$K$130,_xlfn.AGGREGATE(15,3,(trust_rcrd_quality!$C$2:$C$130=selected_trust_ca_name_xc_rcrd)/(trust_rcrd_quality!$C$2:$C$130=selected_trust_ca_name_xc_rcrd)*(ROW(trust_rcrd_quality!$C$2:$C$130)-ROW(trust_rcrd_quality!$C$1)),ROWS($F$37:F37))),"")</f>
        <v>0.98</v>
      </c>
      <c r="G38" s="103" cm="1">
        <f t="array" aca="1" ref="G38" ca="1">IF(ROWS($G$37:G37)&lt;=n_trusts_in_CA_xc_rcrd, INDEX(trust_rcrd_quality!$L$2:$L$130,_xlfn.AGGREGATE(15,3,(trust_rcrd_quality!$C$2:$C$130=selected_trust_ca_name_xc_rcrd)/(trust_rcrd_quality!$C$2:$C$130=selected_trust_ca_name_xc_rcrd)*(ROW(trust_rcrd_quality!$C$2:$C$130)-ROW(trust_rcrd_quality!$C$1)),ROWS($G$37:G37))),"")</f>
        <v>27</v>
      </c>
      <c r="H38" s="4"/>
    </row>
    <row r="39" spans="2:8" x14ac:dyDescent="0.35">
      <c r="C39" s="101" t="str" cm="1">
        <f t="array" aca="1" ref="C39" ca="1">IF(ROWS($C$37:C38)&lt;=n_trusts_in_CA_xc_rcrd, INDEX(trust_rcrd_quality!$A$2:$A$130,_xlfn.AGGREGATE(15,3,(trust_rcrd_quality!$C$2:$C$130=selected_trust_ca_name_xc_rcrd)/(trust_rcrd_quality!$C$2:$C$130=selected_trust_ca_name_xc_rcrd)*(ROW(trust_rcrd_quality!$C$2:$C$130)-ROW(trust_rcrd_quality!$C$1)),ROWS($C$37:C38))),"")</f>
        <v>Bradford Teaching Hospitals NHS Foundation Trust</v>
      </c>
      <c r="E39" s="123" cm="1">
        <f t="array" aca="1" ref="E39" ca="1">IF(ROWS($E$37:E38)&lt;=n_trusts_in_CA_xc_rcrd, INDEX(trust_rcrd_quality!$M$2:$M$130,_xlfn.AGGREGATE(15,3,(trust_rcrd_quality!$C$2:$C$130=selected_trust_ca_name_xc_rcrd)/(trust_rcrd_quality!$C$2:$C$130=selected_trust_ca_name_xc_rcrd)*(ROW(trust_rcrd_quality!$C$2:$C$130)-ROW(trust_rcrd_quality!$C$1)),ROWS($E$37:E38))),"")</f>
        <v>65</v>
      </c>
      <c r="F39" s="107" cm="1">
        <f t="array" aca="1" ref="F39" ca="1">IF(ROWS($F$37:F38)&lt;=n_trusts_in_CA_xc_rcrd, INDEX(trust_rcrd_quality!$K$2:$K$130,_xlfn.AGGREGATE(15,3,(trust_rcrd_quality!$C$2:$C$130=selected_trust_ca_name_xc_rcrd)/(trust_rcrd_quality!$C$2:$C$130=selected_trust_ca_name_xc_rcrd)*(ROW(trust_rcrd_quality!$C$2:$C$130)-ROW(trust_rcrd_quality!$C$1)),ROWS($F$37:F38))),"")</f>
        <v>1</v>
      </c>
      <c r="G39" s="103" cm="1">
        <f t="array" aca="1" ref="G39" ca="1">IF(ROWS($G$37:G38)&lt;=n_trusts_in_CA_xc_rcrd, INDEX(trust_rcrd_quality!$L$2:$L$130,_xlfn.AGGREGATE(15,3,(trust_rcrd_quality!$C$2:$C$130=selected_trust_ca_name_xc_rcrd)/(trust_rcrd_quality!$C$2:$C$130=selected_trust_ca_name_xc_rcrd)*(ROW(trust_rcrd_quality!$C$2:$C$130)-ROW(trust_rcrd_quality!$C$1)),ROWS($G$37:G38))),"")</f>
        <v>1</v>
      </c>
      <c r="H39" s="4"/>
    </row>
    <row r="40" spans="2:8" x14ac:dyDescent="0.35">
      <c r="C40" s="101" t="str" cm="1">
        <f t="array" aca="1" ref="C40" ca="1">IF(ROWS($C$37:C39)&lt;=n_trusts_in_CA_xc_rcrd, INDEX(trust_rcrd_quality!$A$2:$A$130,_xlfn.AGGREGATE(15,3,(trust_rcrd_quality!$C$2:$C$130=selected_trust_ca_name_xc_rcrd)/(trust_rcrd_quality!$C$2:$C$130=selected_trust_ca_name_xc_rcrd)*(ROW(trust_rcrd_quality!$C$2:$C$130)-ROW(trust_rcrd_quality!$C$1)),ROWS($C$37:C39))),"")</f>
        <v>Calderdale and Huddersfield NHS Foundation Trust</v>
      </c>
      <c r="E40" s="123" cm="1">
        <f t="array" aca="1" ref="E40" ca="1">IF(ROWS($E$37:E39)&lt;=n_trusts_in_CA_xc_rcrd, INDEX(trust_rcrd_quality!$M$2:$M$130,_xlfn.AGGREGATE(15,3,(trust_rcrd_quality!$C$2:$C$130=selected_trust_ca_name_xc_rcrd)/(trust_rcrd_quality!$C$2:$C$130=selected_trust_ca_name_xc_rcrd)*(ROW(trust_rcrd_quality!$C$2:$C$130)-ROW(trust_rcrd_quality!$C$1)),ROWS($E$37:E39))),"")</f>
        <v>98</v>
      </c>
      <c r="F40" s="107" cm="1">
        <f t="array" aca="1" ref="F40" ca="1">IF(ROWS($F$37:F39)&lt;=n_trusts_in_CA_xc_rcrd, INDEX(trust_rcrd_quality!$K$2:$K$130,_xlfn.AGGREGATE(15,3,(trust_rcrd_quality!$C$2:$C$130=selected_trust_ca_name_xc_rcrd)/(trust_rcrd_quality!$C$2:$C$130=selected_trust_ca_name_xc_rcrd)*(ROW(trust_rcrd_quality!$C$2:$C$130)-ROW(trust_rcrd_quality!$C$1)),ROWS($F$37:F39))),"")</f>
        <v>0.99</v>
      </c>
      <c r="G40" s="103" cm="1">
        <f t="array" aca="1" ref="G40" ca="1">IF(ROWS($G$37:G39)&lt;=n_trusts_in_CA_xc_rcrd, INDEX(trust_rcrd_quality!$L$2:$L$130,_xlfn.AGGREGATE(15,3,(trust_rcrd_quality!$C$2:$C$130=selected_trust_ca_name_xc_rcrd)/(trust_rcrd_quality!$C$2:$C$130=selected_trust_ca_name_xc_rcrd)*(ROW(trust_rcrd_quality!$C$2:$C$130)-ROW(trust_rcrd_quality!$C$1)),ROWS($G$37:G39))),"")</f>
        <v>19</v>
      </c>
      <c r="H40" s="4"/>
    </row>
    <row r="41" spans="2:8" x14ac:dyDescent="0.35">
      <c r="C41" s="101" t="str" cm="1">
        <f t="array" aca="1" ref="C41" ca="1">IF(ROWS($C$37:C40)&lt;=n_trusts_in_CA_xc_rcrd, INDEX(trust_rcrd_quality!$A$2:$A$130,_xlfn.AGGREGATE(15,3,(trust_rcrd_quality!$C$2:$C$130=selected_trust_ca_name_xc_rcrd)/(trust_rcrd_quality!$C$2:$C$130=selected_trust_ca_name_xc_rcrd)*(ROW(trust_rcrd_quality!$C$2:$C$130)-ROW(trust_rcrd_quality!$C$1)),ROWS($C$37:C40))),"")</f>
        <v>Harrogate and District NHS Foundation Trust</v>
      </c>
      <c r="E41" s="123" cm="1">
        <f t="array" aca="1" ref="E41" ca="1">IF(ROWS($E$37:E40)&lt;=n_trusts_in_CA_xc_rcrd, INDEX(trust_rcrd_quality!$M$2:$M$130,_xlfn.AGGREGATE(15,3,(trust_rcrd_quality!$C$2:$C$130=selected_trust_ca_name_xc_rcrd)/(trust_rcrd_quality!$C$2:$C$130=selected_trust_ca_name_xc_rcrd)*(ROW(trust_rcrd_quality!$C$2:$C$130)-ROW(trust_rcrd_quality!$C$1)),ROWS($E$37:E40))),"")</f>
        <v>50</v>
      </c>
      <c r="F41" s="107" cm="1">
        <f t="array" aca="1" ref="F41" ca="1">IF(ROWS($F$37:F40)&lt;=n_trusts_in_CA_xc_rcrd, INDEX(trust_rcrd_quality!$K$2:$K$130,_xlfn.AGGREGATE(15,3,(trust_rcrd_quality!$C$2:$C$130=selected_trust_ca_name_xc_rcrd)/(trust_rcrd_quality!$C$2:$C$130=selected_trust_ca_name_xc_rcrd)*(ROW(trust_rcrd_quality!$C$2:$C$130)-ROW(trust_rcrd_quality!$C$1)),ROWS($F$37:F40))),"")</f>
        <v>1</v>
      </c>
      <c r="G41" s="103" cm="1">
        <f t="array" aca="1" ref="G41" ca="1">IF(ROWS($G$37:G40)&lt;=n_trusts_in_CA_xc_rcrd, INDEX(trust_rcrd_quality!$L$2:$L$130,_xlfn.AGGREGATE(15,3,(trust_rcrd_quality!$C$2:$C$130=selected_trust_ca_name_xc_rcrd)/(trust_rcrd_quality!$C$2:$C$130=selected_trust_ca_name_xc_rcrd)*(ROW(trust_rcrd_quality!$C$2:$C$130)-ROW(trust_rcrd_quality!$C$1)),ROWS($G$37:G40))),"")</f>
        <v>4</v>
      </c>
    </row>
    <row r="42" spans="2:8" x14ac:dyDescent="0.35">
      <c r="C42" s="101" t="str" cm="1">
        <f t="array" aca="1" ref="C42" ca="1">IF(ROWS($C$37:C41)&lt;=n_trusts_in_CA_xc_rcrd, INDEX(trust_rcrd_quality!$A$2:$A$130,_xlfn.AGGREGATE(15,3,(trust_rcrd_quality!$C$2:$C$130=selected_trust_ca_name_xc_rcrd)/(trust_rcrd_quality!$C$2:$C$130=selected_trust_ca_name_xc_rcrd)*(ROW(trust_rcrd_quality!$C$2:$C$130)-ROW(trust_rcrd_quality!$C$1)),ROWS($C$37:C41))),"")</f>
        <v>Leeds Teaching Hospitals NHS Trust</v>
      </c>
      <c r="E42" s="123" cm="1">
        <f t="array" aca="1" ref="E42" ca="1">IF(ROWS($E$37:E41)&lt;=n_trusts_in_CA_xc_rcrd, INDEX(trust_rcrd_quality!$M$2:$M$130,_xlfn.AGGREGATE(15,3,(trust_rcrd_quality!$C$2:$C$130=selected_trust_ca_name_xc_rcrd)/(trust_rcrd_quality!$C$2:$C$130=selected_trust_ca_name_xc_rcrd)*(ROW(trust_rcrd_quality!$C$2:$C$130)-ROW(trust_rcrd_quality!$C$1)),ROWS($E$37:E41))),"")</f>
        <v>203</v>
      </c>
      <c r="F42" s="107" cm="1">
        <f t="array" aca="1" ref="F42" ca="1">IF(ROWS($F$37:F41)&lt;=n_trusts_in_CA_xc_rcrd, INDEX(trust_rcrd_quality!$K$2:$K$130,_xlfn.AGGREGATE(15,3,(trust_rcrd_quality!$C$2:$C$130=selected_trust_ca_name_xc_rcrd)/(trust_rcrd_quality!$C$2:$C$130=selected_trust_ca_name_xc_rcrd)*(ROW(trust_rcrd_quality!$C$2:$C$130)-ROW(trust_rcrd_quality!$C$1)),ROWS($F$37:F41))),"")</f>
        <v>0.95</v>
      </c>
      <c r="G42" s="103" cm="1">
        <f t="array" aca="1" ref="G42" ca="1">IF(ROWS($G$37:G41)&lt;=n_trusts_in_CA_xc_rcrd, INDEX(trust_rcrd_quality!$L$2:$L$130,_xlfn.AGGREGATE(15,3,(trust_rcrd_quality!$C$2:$C$130=selected_trust_ca_name_xc_rcrd)/(trust_rcrd_quality!$C$2:$C$130=selected_trust_ca_name_xc_rcrd)*(ROW(trust_rcrd_quality!$C$2:$C$130)-ROW(trust_rcrd_quality!$C$1)),ROWS($G$37:G41))),"")</f>
        <v>70</v>
      </c>
    </row>
    <row r="43" spans="2:8" x14ac:dyDescent="0.35">
      <c r="C43" s="101" t="str" cm="1">
        <f t="array" aca="1" ref="C43" ca="1">IF(ROWS($C$37:C42)&lt;=n_trusts_in_CA_xc_rcrd, INDEX(trust_rcrd_quality!$A$2:$A$130,_xlfn.AGGREGATE(15,3,(trust_rcrd_quality!$C$2:$C$130=selected_trust_ca_name_xc_rcrd)/(trust_rcrd_quality!$C$2:$C$130=selected_trust_ca_name_xc_rcrd)*(ROW(trust_rcrd_quality!$C$2:$C$130)-ROW(trust_rcrd_quality!$C$1)),ROWS($C$37:C42))),"")</f>
        <v>Mid Yorkshire Teaching NHS Trust</v>
      </c>
      <c r="E43" s="123" cm="1">
        <f t="array" aca="1" ref="E43" ca="1">IF(ROWS($E$37:E42)&lt;=n_trusts_in_CA_xc_rcrd, INDEX(trust_rcrd_quality!$M$2:$M$130,_xlfn.AGGREGATE(15,3,(trust_rcrd_quality!$C$2:$C$130=selected_trust_ca_name_xc_rcrd)/(trust_rcrd_quality!$C$2:$C$130=selected_trust_ca_name_xc_rcrd)*(ROW(trust_rcrd_quality!$C$2:$C$130)-ROW(trust_rcrd_quality!$C$1)),ROWS($E$37:E42))),"")</f>
        <v>126</v>
      </c>
      <c r="F43" s="107" cm="1">
        <f t="array" aca="1" ref="F43" ca="1">IF(ROWS($F$37:F42)&lt;=n_trusts_in_CA_xc_rcrd, INDEX(trust_rcrd_quality!$K$2:$K$130,_xlfn.AGGREGATE(15,3,(trust_rcrd_quality!$C$2:$C$130=selected_trust_ca_name_xc_rcrd)/(trust_rcrd_quality!$C$2:$C$130=selected_trust_ca_name_xc_rcrd)*(ROW(trust_rcrd_quality!$C$2:$C$130)-ROW(trust_rcrd_quality!$C$1)),ROWS($F$37:F42))),"")</f>
        <v>0.99</v>
      </c>
      <c r="G43" s="103" cm="1">
        <f t="array" aca="1" ref="G43" ca="1">IF(ROWS($G$37:G42)&lt;=n_trusts_in_CA_xc_rcrd, INDEX(trust_rcrd_quality!$L$2:$L$130,_xlfn.AGGREGATE(15,3,(trust_rcrd_quality!$C$2:$C$130=selected_trust_ca_name_xc_rcrd)/(trust_rcrd_quality!$C$2:$C$130=selected_trust_ca_name_xc_rcrd)*(ROW(trust_rcrd_quality!$C$2:$C$130)-ROW(trust_rcrd_quality!$C$1)),ROWS($G$37:G42))),"")</f>
        <v>21</v>
      </c>
    </row>
    <row r="44" spans="2:8" x14ac:dyDescent="0.35">
      <c r="C44" s="101" t="str" cm="1">
        <f t="array" aca="1" ref="C44" ca="1">IF(ROWS($C$37:C43)&lt;=n_trusts_in_CA_xc_rcrd, INDEX(trust_rcrd_quality!$A$2:$A$130,_xlfn.AGGREGATE(15,3,(trust_rcrd_quality!$C$2:$C$130=selected_trust_ca_name_xc_rcrd)/(trust_rcrd_quality!$C$2:$C$130=selected_trust_ca_name_xc_rcrd)*(ROW(trust_rcrd_quality!$C$2:$C$130)-ROW(trust_rcrd_quality!$C$1)),ROWS($C$37:C43))),"")</f>
        <v/>
      </c>
      <c r="E44" s="123" t="str" cm="1">
        <f t="array" aca="1" ref="E44" ca="1">IF(ROWS($E$37:E43)&lt;=n_trusts_in_CA_xc_rcrd, INDEX(trust_rcrd_quality!$M$2:$M$130,_xlfn.AGGREGATE(15,3,(trust_rcrd_quality!$C$2:$C$130=selected_trust_ca_name_xc_rcrd)/(trust_rcrd_quality!$C$2:$C$130=selected_trust_ca_name_xc_rcrd)*(ROW(trust_rcrd_quality!$C$2:$C$130)-ROW(trust_rcrd_quality!$C$1)),ROWS($E$37:E43))),"")</f>
        <v/>
      </c>
      <c r="F44" s="107" t="str" cm="1">
        <f t="array" aca="1" ref="F44" ca="1">IF(ROWS($F$37:F43)&lt;=n_trusts_in_CA_xc_rcrd, INDEX(trust_rcrd_quality!$K$2:$K$130,_xlfn.AGGREGATE(15,3,(trust_rcrd_quality!$C$2:$C$130=selected_trust_ca_name_xc_rcrd)/(trust_rcrd_quality!$C$2:$C$130=selected_trust_ca_name_xc_rcrd)*(ROW(trust_rcrd_quality!$C$2:$C$130)-ROW(trust_rcrd_quality!$C$1)),ROWS($F$37:F43))),"")</f>
        <v/>
      </c>
      <c r="G44" s="103" t="str" cm="1">
        <f t="array" aca="1" ref="G44" ca="1">IF(ROWS($G$37:G43)&lt;=n_trusts_in_CA_xc_rcrd, INDEX(trust_rcrd_quality!$L$2:$L$130,_xlfn.AGGREGATE(15,3,(trust_rcrd_quality!$C$2:$C$130=selected_trust_ca_name_xc_rcrd)/(trust_rcrd_quality!$C$2:$C$130=selected_trust_ca_name_xc_rcrd)*(ROW(trust_rcrd_quality!$C$2:$C$130)-ROW(trust_rcrd_quality!$C$1)),ROWS($G$37:G43))),"")</f>
        <v/>
      </c>
    </row>
    <row r="45" spans="2:8" x14ac:dyDescent="0.35">
      <c r="C45" s="101" t="str" cm="1">
        <f t="array" aca="1" ref="C45" ca="1">IF(ROWS($C$37:C44)&lt;=n_trusts_in_CA_xc_rcrd, INDEX(trust_rcrd_quality!$A$2:$A$130,_xlfn.AGGREGATE(15,3,(trust_rcrd_quality!$C$2:$C$130=selected_trust_ca_name_xc_rcrd)/(trust_rcrd_quality!$C$2:$C$130=selected_trust_ca_name_xc_rcrd)*(ROW(trust_rcrd_quality!$C$2:$C$130)-ROW(trust_rcrd_quality!$C$1)),ROWS($C$37:C44))),"")</f>
        <v/>
      </c>
      <c r="E45" s="123" t="str" cm="1">
        <f t="array" aca="1" ref="E45" ca="1">IF(ROWS($E$37:E44)&lt;=n_trusts_in_CA_xc_rcrd, INDEX(trust_rcrd_quality!$M$2:$M$130,_xlfn.AGGREGATE(15,3,(trust_rcrd_quality!$C$2:$C$130=selected_trust_ca_name_xc_rcrd)/(trust_rcrd_quality!$C$2:$C$130=selected_trust_ca_name_xc_rcrd)*(ROW(trust_rcrd_quality!$C$2:$C$130)-ROW(trust_rcrd_quality!$C$1)),ROWS($E$37:E44))),"")</f>
        <v/>
      </c>
      <c r="F45" s="107" t="str" cm="1">
        <f t="array" aca="1" ref="F45" ca="1">IF(ROWS($F$37:F44)&lt;=n_trusts_in_CA_xc_rcrd, INDEX(trust_rcrd_quality!$K$2:$K$130,_xlfn.AGGREGATE(15,3,(trust_rcrd_quality!$C$2:$C$130=selected_trust_ca_name_xc_rcrd)/(trust_rcrd_quality!$C$2:$C$130=selected_trust_ca_name_xc_rcrd)*(ROW(trust_rcrd_quality!$C$2:$C$130)-ROW(trust_rcrd_quality!$C$1)),ROWS($F$37:F44))),"")</f>
        <v/>
      </c>
      <c r="G45" s="103" t="str" cm="1">
        <f t="array" aca="1" ref="G45" ca="1">IF(ROWS($G$37:G44)&lt;=n_trusts_in_CA_xc_rcrd, INDEX(trust_rcrd_quality!$L$2:$L$130,_xlfn.AGGREGATE(15,3,(trust_rcrd_quality!$C$2:$C$130=selected_trust_ca_name_xc_rcrd)/(trust_rcrd_quality!$C$2:$C$130=selected_trust_ca_name_xc_rcrd)*(ROW(trust_rcrd_quality!$C$2:$C$130)-ROW(trust_rcrd_quality!$C$1)),ROWS($G$37:G44))),"")</f>
        <v/>
      </c>
    </row>
    <row r="46" spans="2:8" x14ac:dyDescent="0.35">
      <c r="C46" s="101" t="str" cm="1">
        <f t="array" aca="1" ref="C46" ca="1">IF(ROWS($C$37:C45)&lt;=n_trusts_in_CA_xc_rcrd, INDEX(trust_rcrd_quality!$A$2:$A$130,_xlfn.AGGREGATE(15,3,(trust_rcrd_quality!$C$2:$C$130=selected_trust_ca_name_xc_rcrd)/(trust_rcrd_quality!$C$2:$C$130=selected_trust_ca_name_xc_rcrd)*(ROW(trust_rcrd_quality!$C$2:$C$130)-ROW(trust_rcrd_quality!$C$1)),ROWS($C$37:C45))),"")</f>
        <v/>
      </c>
      <c r="E46" s="123" t="str" cm="1">
        <f t="array" aca="1" ref="E46" ca="1">IF(ROWS($E$37:E45)&lt;=n_trusts_in_CA_xc_rcrd, INDEX(trust_rcrd_quality!$M$2:$M$130,_xlfn.AGGREGATE(15,3,(trust_rcrd_quality!$C$2:$C$130=selected_trust_ca_name_xc_rcrd)/(trust_rcrd_quality!$C$2:$C$130=selected_trust_ca_name_xc_rcrd)*(ROW(trust_rcrd_quality!$C$2:$C$130)-ROW(trust_rcrd_quality!$C$1)),ROWS($E$37:E45))),"")</f>
        <v/>
      </c>
      <c r="F46" s="107" t="str" cm="1">
        <f t="array" aca="1" ref="F46" ca="1">IF(ROWS($F$37:F45)&lt;=n_trusts_in_CA_xc_rcrd, INDEX(trust_rcrd_quality!$K$2:$K$130,_xlfn.AGGREGATE(15,3,(trust_rcrd_quality!$C$2:$C$130=selected_trust_ca_name_xc_rcrd)/(trust_rcrd_quality!$C$2:$C$130=selected_trust_ca_name_xc_rcrd)*(ROW(trust_rcrd_quality!$C$2:$C$130)-ROW(trust_rcrd_quality!$C$1)),ROWS($F$37:F45))),"")</f>
        <v/>
      </c>
      <c r="G46" s="103" t="str" cm="1">
        <f t="array" aca="1" ref="G46" ca="1">IF(ROWS($G$37:G45)&lt;=n_trusts_in_CA_xc_rcrd, INDEX(trust_rcrd_quality!$L$2:$L$130,_xlfn.AGGREGATE(15,3,(trust_rcrd_quality!$C$2:$C$130=selected_trust_ca_name_xc_rcrd)/(trust_rcrd_quality!$C$2:$C$130=selected_trust_ca_name_xc_rcrd)*(ROW(trust_rcrd_quality!$C$2:$C$130)-ROW(trust_rcrd_quality!$C$1)),ROWS($G$37:G45))),"")</f>
        <v/>
      </c>
    </row>
    <row r="47" spans="2:8" x14ac:dyDescent="0.35">
      <c r="C47" s="101" t="str" cm="1">
        <f t="array" aca="1" ref="C47" ca="1">IF(ROWS($C$37:C46)&lt;=n_trusts_in_CA_xc_rcrd, INDEX(trust_rcrd_quality!$A$2:$A$130,_xlfn.AGGREGATE(15,3,(trust_rcrd_quality!$C$2:$C$130=selected_trust_ca_name_xc_rcrd)/(trust_rcrd_quality!$C$2:$C$130=selected_trust_ca_name_xc_rcrd)*(ROW(trust_rcrd_quality!$C$2:$C$130)-ROW(trust_rcrd_quality!$C$1)),ROWS($C$37:C46))),"")</f>
        <v/>
      </c>
      <c r="E47" s="123" t="str" cm="1">
        <f t="array" aca="1" ref="E47" ca="1">IF(ROWS($E$37:E46)&lt;=n_trusts_in_CA_xc_rcrd, INDEX(trust_rcrd_quality!$M$2:$M$130,_xlfn.AGGREGATE(15,3,(trust_rcrd_quality!$C$2:$C$130=selected_trust_ca_name_xc_rcrd)/(trust_rcrd_quality!$C$2:$C$130=selected_trust_ca_name_xc_rcrd)*(ROW(trust_rcrd_quality!$C$2:$C$130)-ROW(trust_rcrd_quality!$C$1)),ROWS($E$37:E46))),"")</f>
        <v/>
      </c>
      <c r="F47" s="107" t="str" cm="1">
        <f t="array" aca="1" ref="F47" ca="1">IF(ROWS($F$37:F46)&lt;=n_trusts_in_CA_xc_rcrd, INDEX(trust_rcrd_quality!$K$2:$K$130,_xlfn.AGGREGATE(15,3,(trust_rcrd_quality!$C$2:$C$130=selected_trust_ca_name_xc_rcrd)/(trust_rcrd_quality!$C$2:$C$130=selected_trust_ca_name_xc_rcrd)*(ROW(trust_rcrd_quality!$C$2:$C$130)-ROW(trust_rcrd_quality!$C$1)),ROWS($F$37:F46))),"")</f>
        <v/>
      </c>
      <c r="G47" s="103" t="str" cm="1">
        <f t="array" aca="1" ref="G47" ca="1">IF(ROWS($G$37:G46)&lt;=n_trusts_in_CA_xc_rcrd, INDEX(trust_rcrd_quality!$L$2:$L$130,_xlfn.AGGREGATE(15,3,(trust_rcrd_quality!$C$2:$C$130=selected_trust_ca_name_xc_rcrd)/(trust_rcrd_quality!$C$2:$C$130=selected_trust_ca_name_xc_rcrd)*(ROW(trust_rcrd_quality!$C$2:$C$130)-ROW(trust_rcrd_quality!$C$1)),ROWS($G$37:G46))),"")</f>
        <v/>
      </c>
    </row>
    <row r="48" spans="2:8" x14ac:dyDescent="0.35">
      <c r="C48" s="101" t="str" cm="1">
        <f t="array" aca="1" ref="C48" ca="1">IF(ROWS($C$37:C47)&lt;=n_trusts_in_CA_xc_rcrd, INDEX(trust_rcrd_quality!$A$2:$A$130,_xlfn.AGGREGATE(15,3,(trust_rcrd_quality!$C$2:$C$130=selected_trust_ca_name_xc_rcrd)/(trust_rcrd_quality!$C$2:$C$130=selected_trust_ca_name_xc_rcrd)*(ROW(trust_rcrd_quality!$C$2:$C$130)-ROW(trust_rcrd_quality!$C$1)),ROWS($C$37:C47))),"")</f>
        <v/>
      </c>
      <c r="E48" s="123" t="str" cm="1">
        <f t="array" aca="1" ref="E48" ca="1">IF(ROWS($E$37:E47)&lt;=n_trusts_in_CA_xc_rcrd, INDEX(trust_rcrd_quality!$M$2:$M$130,_xlfn.AGGREGATE(15,3,(trust_rcrd_quality!$C$2:$C$130=selected_trust_ca_name_xc_rcrd)/(trust_rcrd_quality!$C$2:$C$130=selected_trust_ca_name_xc_rcrd)*(ROW(trust_rcrd_quality!$C$2:$C$130)-ROW(trust_rcrd_quality!$C$1)),ROWS($E$37:E47))),"")</f>
        <v/>
      </c>
      <c r="F48" s="107" t="str" cm="1">
        <f t="array" aca="1" ref="F48" ca="1">IF(ROWS($F$37:F47)&lt;=n_trusts_in_CA_xc_rcrd, INDEX(trust_rcrd_quality!$K$2:$K$130,_xlfn.AGGREGATE(15,3,(trust_rcrd_quality!$C$2:$C$130=selected_trust_ca_name_xc_rcrd)/(trust_rcrd_quality!$C$2:$C$130=selected_trust_ca_name_xc_rcrd)*(ROW(trust_rcrd_quality!$C$2:$C$130)-ROW(trust_rcrd_quality!$C$1)),ROWS($F$37:F47))),"")</f>
        <v/>
      </c>
      <c r="G48" s="103" t="str" cm="1">
        <f t="array" aca="1" ref="G48" ca="1">IF(ROWS($G$37:G47)&lt;=n_trusts_in_CA_xc_rcrd, INDEX(trust_rcrd_quality!$L$2:$L$130,_xlfn.AGGREGATE(15,3,(trust_rcrd_quality!$C$2:$C$130=selected_trust_ca_name_xc_rcrd)/(trust_rcrd_quality!$C$2:$C$130=selected_trust_ca_name_xc_rcrd)*(ROW(trust_rcrd_quality!$C$2:$C$130)-ROW(trust_rcrd_quality!$C$1)),ROWS($G$37:G47))),"")</f>
        <v/>
      </c>
    </row>
    <row r="49" spans="3:7" x14ac:dyDescent="0.35">
      <c r="C49" s="101" t="str" cm="1">
        <f t="array" aca="1" ref="C49" ca="1">IF(ROWS($C$37:C48)&lt;=n_trusts_in_CA_xc_rcrd, INDEX(trust_rcrd_quality!$A$2:$A$130,_xlfn.AGGREGATE(15,3,(trust_rcrd_quality!$C$2:$C$130=selected_trust_ca_name_xc_rcrd)/(trust_rcrd_quality!$C$2:$C$130=selected_trust_ca_name_xc_rcrd)*(ROW(trust_rcrd_quality!$C$2:$C$130)-ROW(trust_rcrd_quality!$C$1)),ROWS($C$37:C48))),"")</f>
        <v/>
      </c>
      <c r="E49" s="123" t="str" cm="1">
        <f t="array" aca="1" ref="E49" ca="1">IF(ROWS($E$37:E48)&lt;=n_trusts_in_CA_xc_rcrd, INDEX(trust_rcrd_quality!$M$2:$M$130,_xlfn.AGGREGATE(15,3,(trust_rcrd_quality!$C$2:$C$130=selected_trust_ca_name_xc_rcrd)/(trust_rcrd_quality!$C$2:$C$130=selected_trust_ca_name_xc_rcrd)*(ROW(trust_rcrd_quality!$C$2:$C$130)-ROW(trust_rcrd_quality!$C$1)),ROWS($E$37:E48))),"")</f>
        <v/>
      </c>
      <c r="F49" s="108" t="str" cm="1">
        <f t="array" aca="1" ref="F49" ca="1">IF(ROWS($F$37:F48)&lt;=n_trusts_in_CA_xc_rcrd, INDEX(trust_rcrd_quality!$K$2:$K$130,_xlfn.AGGREGATE(15,3,(trust_rcrd_quality!$C$2:$C$130=selected_trust_ca_name_xc_rcrd)/(trust_rcrd_quality!$C$2:$C$130=selected_trust_ca_name_xc_rcrd)*(ROW(trust_rcrd_quality!$C$2:$C$130)-ROW(trust_rcrd_quality!$C$1)),ROWS($F$37:F48))),"")</f>
        <v/>
      </c>
      <c r="G49" s="103" t="str" cm="1">
        <f t="array" aca="1" ref="G49" ca="1">IF(ROWS($G$37:G48)&lt;=n_trusts_in_CA_xc_rcrd, INDEX(trust_rcrd_quality!$L$2:$L$130,_xlfn.AGGREGATE(15,3,(trust_rcrd_quality!$C$2:$C$130=selected_trust_ca_name_xc_rcrd)/(trust_rcrd_quality!$C$2:$C$130=selected_trust_ca_name_xc_rcrd)*(ROW(trust_rcrd_quality!$C$2:$C$130)-ROW(trust_rcrd_quality!$C$1)),ROWS($G$37:G48))),"")</f>
        <v/>
      </c>
    </row>
    <row r="50" spans="3:7" x14ac:dyDescent="0.35">
      <c r="C50" s="101" t="str" cm="1">
        <f t="array" aca="1" ref="C50" ca="1">IF(ROWS($C$37:C49)&lt;=n_trusts_in_CA_xc_rcrd, INDEX(trust_rcrd_quality!$A$2:$A$130,_xlfn.AGGREGATE(15,3,(trust_rcrd_quality!$C$2:$C$130=selected_trust_ca_name_xc_rcrd)/(trust_rcrd_quality!$C$2:$C$130=selected_trust_ca_name_xc_rcrd)*(ROW(trust_rcrd_quality!$C$2:$C$130)-ROW(trust_rcrd_quality!$C$1)),ROWS($C$37:C49))),"")</f>
        <v/>
      </c>
      <c r="E50" s="123" t="str" cm="1">
        <f t="array" aca="1" ref="E50" ca="1">IF(ROWS($E$37:E49)&lt;=n_trusts_in_CA_xc_rcrd, INDEX(trust_rcrd_quality!$M$2:$M$130,_xlfn.AGGREGATE(15,3,(trust_rcrd_quality!$C$2:$C$130=selected_trust_ca_name_xc_rcrd)/(trust_rcrd_quality!$C$2:$C$130=selected_trust_ca_name_xc_rcrd)*(ROW(trust_rcrd_quality!$C$2:$C$130)-ROW(trust_rcrd_quality!$C$1)),ROWS($E$37:E49))),"")</f>
        <v/>
      </c>
      <c r="F50" s="108" t="str" cm="1">
        <f t="array" aca="1" ref="F50" ca="1">IF(ROWS($F$37:F49)&lt;=n_trusts_in_CA_xc_rcrd, INDEX(trust_rcrd_quality!$K$2:$K$130,_xlfn.AGGREGATE(15,3,(trust_rcrd_quality!$C$2:$C$130=selected_trust_ca_name_xc_rcrd)/(trust_rcrd_quality!$C$2:$C$130=selected_trust_ca_name_xc_rcrd)*(ROW(trust_rcrd_quality!$C$2:$C$130)-ROW(trust_rcrd_quality!$C$1)),ROWS($F$37:F49))),"")</f>
        <v/>
      </c>
      <c r="G50" s="103" t="str" cm="1">
        <f t="array" aca="1" ref="G50" ca="1">IF(ROWS($G$37:G49)&lt;=n_trusts_in_CA_xc_rcrd, INDEX(trust_rcrd_quality!$L$2:$L$130,_xlfn.AGGREGATE(15,3,(trust_rcrd_quality!$C$2:$C$130=selected_trust_ca_name_xc_rcrd)/(trust_rcrd_quality!$C$2:$C$130=selected_trust_ca_name_xc_rcrd)*(ROW(trust_rcrd_quality!$C$2:$C$130)-ROW(trust_rcrd_quality!$C$1)),ROWS($G$37:G49))),"")</f>
        <v/>
      </c>
    </row>
    <row r="51" spans="3:7" x14ac:dyDescent="0.35">
      <c r="C51" s="124" t="str" cm="1">
        <f t="array" aca="1" ref="C51" ca="1">IF(ROWS($C$37:C50)&lt;=n_trusts_in_CA_xc_rcrd, INDEX(trust_rcrd_quality!$A$2:$A$130,_xlfn.AGGREGATE(15,3,(trust_rcrd_quality!$C$2:$C$130=selected_trust_ca_name_xc_rcrd)/(trust_rcrd_quality!$C$2:$C$130=selected_trust_ca_name_xc_rcrd)*(ROW(trust_rcrd_quality!$C$2:$C$130)-ROW(trust_rcrd_quality!$C$1)),ROWS($C$37:C50))),"")</f>
        <v/>
      </c>
      <c r="D51" s="7"/>
      <c r="E51" s="125" t="str" cm="1">
        <f t="array" aca="1" ref="E51" ca="1">IF(ROWS($E$37:E50)&lt;=n_trusts_in_CA_xc_rcrd, INDEX(trust_rcrd_quality!$M$2:$M$130,_xlfn.AGGREGATE(15,3,(trust_rcrd_quality!$C$2:$C$130=selected_trust_ca_name_xc_rcrd)/(trust_rcrd_quality!$C$2:$C$130=selected_trust_ca_name_xc_rcrd)*(ROW(trust_rcrd_quality!$C$2:$C$130)-ROW(trust_rcrd_quality!$C$1)),ROWS($E$37:E50))),"")</f>
        <v/>
      </c>
      <c r="F51" s="109" t="str" cm="1">
        <f t="array" aca="1" ref="F51" ca="1">IF(ROWS($F$37:F50)&lt;=n_trusts_in_CA_xc_rcrd, INDEX(trust_rcrd_quality!$K$2:$K$130,_xlfn.AGGREGATE(15,3,(trust_rcrd_quality!$C$2:$C$130=selected_trust_ca_name_xc_rcrd)/(trust_rcrd_quality!$C$2:$C$130=selected_trust_ca_name_xc_rcrd)*(ROW(trust_rcrd_quality!$C$2:$C$130)-ROW(trust_rcrd_quality!$C$1)),ROWS($F$37:F50))),"")</f>
        <v/>
      </c>
      <c r="G51" s="126" t="str" cm="1">
        <f t="array" aca="1" ref="G51" ca="1">IF(ROWS($G$37:G50)&lt;=n_trusts_in_CA_xc_rcrd, INDEX(trust_rcrd_quality!$L$2:$L$130,_xlfn.AGGREGATE(15,3,(trust_rcrd_quality!$C$2:$C$130=selected_trust_ca_name_xc_rcrd)/(trust_rcrd_quality!$C$2:$C$130=selected_trust_ca_name_xc_rcrd)*(ROW(trust_rcrd_quality!$C$2:$C$130)-ROW(trust_rcrd_quality!$C$1)),ROWS($G$37:G50))),"")</f>
        <v/>
      </c>
    </row>
    <row r="52" spans="3:7" x14ac:dyDescent="0.35">
      <c r="C52" s="4" t="str" cm="1">
        <f t="array" aca="1" ref="C52" ca="1">IF(ROWS($C$37:C51)&lt;=n_trusts_in_CA_xc_rcrd, INDEX(trust_rcrd_quality!$A$2:$A$130,_xlfn.AGGREGATE(15,3,(trust_rcrd_quality!$C$2:$C$130=selected_trust_ca_name_xc_rcrd)/(trust_rcrd_quality!$C$2:$C$130=selected_trust_ca_name_xc_rcrd)*(ROW(trust_rcrd_quality!$C$2:$C$130)-ROW(trust_rcrd_quality!$C$1)),ROWS($C$37:C51))),"")</f>
        <v/>
      </c>
      <c r="E52" s="98" t="str" cm="1">
        <f t="array" aca="1" ref="E52" ca="1">IF(ROWS($E$37:E51)&lt;=n_trusts_in_CA_xc_rcrd, INDEX(trust_rcrd_quality!$M$2:$M$130,_xlfn.AGGREGATE(15,3,(trust_rcrd_quality!$C$2:$C$130=selected_trust_ca_name_xc_rcrd)/(trust_rcrd_quality!$C$2:$C$130=selected_trust_ca_name_xc_rcrd)*(ROW(trust_rcrd_quality!$C$2:$C$130)-ROW(trust_rcrd_quality!$C$1)),ROWS($E$37:E51))),"")</f>
        <v/>
      </c>
      <c r="F52" s="99" t="str" cm="1">
        <f t="array" aca="1" ref="F52" ca="1">IF(ROWS($F$37:F51)&lt;=n_trusts_in_CA_xc_rcrd, INDEX(trust_rcrd_quality!$K$2:$K$130,_xlfn.AGGREGATE(15,3,(trust_rcrd_quality!$C$2:$C$130=selected_trust_ca_name_xc_rcrd)/(trust_rcrd_quality!$C$2:$C$130=selected_trust_ca_name_xc_rcrd)*(ROW(trust_rcrd_quality!$C$2:$C$130)-ROW(trust_rcrd_quality!$C$1)),ROWS($F$37:F51))),"")</f>
        <v/>
      </c>
      <c r="G52" s="100" t="str" cm="1">
        <f t="array" aca="1" ref="G52" ca="1">IF(ROWS($G$37:G51)&lt;=n_trusts_in_CA_xc_rcrd, INDEX(trust_rcrd_quality!$L$2:$L$130,_xlfn.AGGREGATE(15,3,(trust_rcrd_quality!$C$2:$C$130=selected_trust_ca_name_xc_rcrd)/(trust_rcrd_quality!$C$2:$C$130=selected_trust_ca_name_xc_rcrd)*(ROW(trust_rcrd_quality!$C$2:$C$130)-ROW(trust_rcrd_quality!$C$1)),ROWS($G$37:G51))),"")</f>
        <v/>
      </c>
    </row>
    <row r="53" spans="3:7" x14ac:dyDescent="0.35">
      <c r="C53" s="4" t="str" cm="1">
        <f t="array" aca="1" ref="C53" ca="1">IF(ROWS($C$37:C52)&lt;=n_trusts_in_CA_xc_rcrd, INDEX(trust_rcrd_quality!$A$2:$A$130,_xlfn.AGGREGATE(15,3,(trust_rcrd_quality!$C$2:$C$130=selected_trust_ca_name_xc_rcrd)/(trust_rcrd_quality!$C$2:$C$130=selected_trust_ca_name_xc_rcrd)*(ROW(trust_rcrd_quality!$C$2:$C$130)-ROW(trust_rcrd_quality!$C$1)),ROWS($C$37:C52))),"")</f>
        <v/>
      </c>
      <c r="E53" s="98" t="str" cm="1">
        <f t="array" aca="1" ref="E53" ca="1">IF(ROWS($E$37:E52)&lt;=n_trusts_in_CA_xc_rcrd, INDEX(trust_rcrd_quality!$M$2:$M$130,_xlfn.AGGREGATE(15,3,(trust_rcrd_quality!$C$2:$C$130=selected_trust_ca_name_xc_rcrd)/(trust_rcrd_quality!$C$2:$C$130=selected_trust_ca_name_xc_rcrd)*(ROW(trust_rcrd_quality!$C$2:$C$130)-ROW(trust_rcrd_quality!$C$1)),ROWS($E$37:E52))),"")</f>
        <v/>
      </c>
      <c r="F53" s="99" t="str" cm="1">
        <f t="array" aca="1" ref="F53" ca="1">IF(ROWS($F$37:F52)&lt;=n_trusts_in_CA_xc_rcrd, INDEX(trust_rcrd_quality!$K$2:$K$130,_xlfn.AGGREGATE(15,3,(trust_rcrd_quality!$C$2:$C$130=selected_trust_ca_name_xc_rcrd)/(trust_rcrd_quality!$C$2:$C$130=selected_trust_ca_name_xc_rcrd)*(ROW(trust_rcrd_quality!$C$2:$C$130)-ROW(trust_rcrd_quality!$C$1)),ROWS($F$37:F52))),"")</f>
        <v/>
      </c>
      <c r="G53" s="100" t="str" cm="1">
        <f t="array" aca="1" ref="G53" ca="1">IF(ROWS($G$37:G52)&lt;=n_trusts_in_CA_xc_rcrd, INDEX(trust_rcrd_quality!$L$2:$L$130,_xlfn.AGGREGATE(15,3,(trust_rcrd_quality!$C$2:$C$130=selected_trust_ca_name_xc_rcrd)/(trust_rcrd_quality!$C$2:$C$130=selected_trust_ca_name_xc_rcrd)*(ROW(trust_rcrd_quality!$C$2:$C$130)-ROW(trust_rcrd_quality!$C$1)),ROWS($G$37:G52))),"")</f>
        <v/>
      </c>
    </row>
    <row r="68" spans="3:6" x14ac:dyDescent="0.35">
      <c r="C68" s="4"/>
      <c r="F68" s="30"/>
    </row>
    <row r="69" spans="3:6" x14ac:dyDescent="0.35">
      <c r="C69" s="4"/>
      <c r="F69" s="30"/>
    </row>
    <row r="70" spans="3:6" x14ac:dyDescent="0.35">
      <c r="C70" s="4"/>
      <c r="F70" s="30"/>
    </row>
    <row r="71" spans="3:6" x14ac:dyDescent="0.35">
      <c r="C71" s="4"/>
      <c r="F71" s="30"/>
    </row>
    <row r="72" spans="3:6" x14ac:dyDescent="0.35">
      <c r="C72" s="4"/>
      <c r="F72" s="30"/>
    </row>
    <row r="73" spans="3:6" x14ac:dyDescent="0.35">
      <c r="C73" s="4"/>
      <c r="F73" s="30"/>
    </row>
    <row r="74" spans="3:6" x14ac:dyDescent="0.35">
      <c r="C74" s="4"/>
      <c r="F74" s="30"/>
    </row>
    <row r="75" spans="3:6" x14ac:dyDescent="0.35">
      <c r="C75" s="4"/>
      <c r="F75" s="30"/>
    </row>
    <row r="76" spans="3:6" x14ac:dyDescent="0.35">
      <c r="C76" s="4"/>
      <c r="F76" s="30"/>
    </row>
    <row r="77" spans="3:6" x14ac:dyDescent="0.35">
      <c r="C77" s="4"/>
      <c r="F77" s="30"/>
    </row>
    <row r="78" spans="3:6" x14ac:dyDescent="0.35">
      <c r="C78" s="4"/>
      <c r="F78" s="30"/>
    </row>
    <row r="79" spans="3:6" x14ac:dyDescent="0.35">
      <c r="C79" s="4"/>
      <c r="F79" s="30"/>
    </row>
    <row r="80" spans="3:6" x14ac:dyDescent="0.35">
      <c r="C80" s="4"/>
      <c r="F80" s="30"/>
    </row>
    <row r="81" spans="3:6" x14ac:dyDescent="0.35">
      <c r="C81" s="4"/>
      <c r="F81" s="30"/>
    </row>
    <row r="82" spans="3:6" x14ac:dyDescent="0.35">
      <c r="C82" s="4"/>
      <c r="F82" s="30"/>
    </row>
    <row r="83" spans="3:6" x14ac:dyDescent="0.35">
      <c r="C83" s="4"/>
      <c r="F83" s="30"/>
    </row>
    <row r="84" spans="3:6" x14ac:dyDescent="0.35">
      <c r="C84" s="4"/>
      <c r="F84" s="30"/>
    </row>
    <row r="85" spans="3:6" x14ac:dyDescent="0.35">
      <c r="C85" s="4"/>
      <c r="F85" s="30"/>
    </row>
    <row r="86" spans="3:6" x14ac:dyDescent="0.35">
      <c r="C86" s="4"/>
      <c r="F86" s="30"/>
    </row>
    <row r="87" spans="3:6" x14ac:dyDescent="0.35">
      <c r="C87" s="4"/>
      <c r="F87" s="30"/>
    </row>
    <row r="88" spans="3:6" x14ac:dyDescent="0.35">
      <c r="C88" s="4"/>
      <c r="F88" s="30"/>
    </row>
    <row r="97" ht="15" customHeight="1" x14ac:dyDescent="0.35"/>
    <row r="118" spans="16:16" x14ac:dyDescent="0.35">
      <c r="P118" s="1"/>
    </row>
  </sheetData>
  <mergeCells count="16">
    <mergeCell ref="B33:G34"/>
    <mergeCell ref="C36:C37"/>
    <mergeCell ref="E36:E37"/>
    <mergeCell ref="G36:G37"/>
    <mergeCell ref="I5:J6"/>
    <mergeCell ref="I8:J9"/>
    <mergeCell ref="I15:J15"/>
    <mergeCell ref="I10:J10"/>
    <mergeCell ref="C16:F16"/>
    <mergeCell ref="C10:F10"/>
    <mergeCell ref="I16:J16"/>
    <mergeCell ref="B23:G24"/>
    <mergeCell ref="I23:N24"/>
    <mergeCell ref="C18:F19"/>
    <mergeCell ref="E25:E27"/>
    <mergeCell ref="G25:G27"/>
  </mergeCells>
  <conditionalFormatting sqref="F28">
    <cfRule type="iconSet" priority="257">
      <iconSet iconSet="3Symbols2">
        <cfvo type="percent" val="0"/>
        <cfvo type="formula" val="$I$21"/>
        <cfvo type="num" val="$I$21" gte="0"/>
      </iconSet>
    </cfRule>
  </conditionalFormatting>
  <conditionalFormatting sqref="F28:F30">
    <cfRule type="expression" dxfId="33" priority="258">
      <formula>$I$21="NA"</formula>
    </cfRule>
    <cfRule type="cellIs" dxfId="32" priority="259" operator="equal">
      <formula>""</formula>
    </cfRule>
    <cfRule type="cellIs" dxfId="31" priority="260" operator="equal">
      <formula>$I$21</formula>
    </cfRule>
    <cfRule type="cellIs" dxfId="30" priority="261" operator="lessThan">
      <formula>$I$21</formula>
    </cfRule>
    <cfRule type="cellIs" dxfId="29" priority="262" operator="greaterThan">
      <formula>$I$21</formula>
    </cfRule>
  </conditionalFormatting>
  <conditionalFormatting sqref="F29">
    <cfRule type="iconSet" priority="263">
      <iconSet iconSet="3Symbols2">
        <cfvo type="percent" val="0"/>
        <cfvo type="formula" val="$I$21"/>
        <cfvo type="num" val="$I$21" gte="0"/>
      </iconSet>
    </cfRule>
  </conditionalFormatting>
  <conditionalFormatting sqref="F30">
    <cfRule type="iconSet" priority="264">
      <iconSet iconSet="3Symbols2">
        <cfvo type="percent" val="0"/>
        <cfvo type="formula" val="$I$21"/>
        <cfvo type="num" val="$I$21" gte="0"/>
      </iconSet>
    </cfRule>
  </conditionalFormatting>
  <conditionalFormatting sqref="F38:F53">
    <cfRule type="expression" dxfId="28" priority="265">
      <formula>$I$21="NA"</formula>
    </cfRule>
    <cfRule type="iconSet" priority="266">
      <iconSet iconSet="3Symbols2">
        <cfvo type="percent" val="0"/>
        <cfvo type="formula" val="$I$21"/>
        <cfvo type="num" val="$I$21" gte="0"/>
      </iconSet>
    </cfRule>
    <cfRule type="cellIs" dxfId="27" priority="267" operator="equal">
      <formula>""</formula>
    </cfRule>
    <cfRule type="cellIs" dxfId="26" priority="268" operator="equal">
      <formula>$I$21</formula>
    </cfRule>
    <cfRule type="cellIs" dxfId="25" priority="269" operator="lessThan">
      <formula>$I$21</formula>
    </cfRule>
    <cfRule type="cellIs" dxfId="24" priority="270" operator="greaterThan">
      <formula>$I$21</formula>
    </cfRule>
  </conditionalFormatting>
  <hyperlinks>
    <hyperlink ref="I10:J10" location="methods_icd" display="Further information on ICD codes used to define patient cohort can be found here in Explanatory Notes worksheet." xr:uid="{71B3FD00-6798-4871-88BF-7771692CD9BE}"/>
    <hyperlink ref="I19:J19" r:id="rId1" location="top" display="Please refer to RCRD data dictionary version 2.1 here for further information on this data variable  " xr:uid="{C39D9AF1-C8B6-4707-81EE-1F6E41BD6917}"/>
    <hyperlink ref="I16:J16" r:id="rId2" display="Further information on RCRD can be found here." xr:uid="{7B4A08B1-F039-4353-9C08-7C2C04C1A8AB}"/>
  </hyperlinks>
  <pageMargins left="0.70866141732283472" right="0.70866141732283472" top="0.74803149606299213" bottom="0.74803149606299213" header="0.31496062992125984" footer="0.31496062992125984"/>
  <pageSetup paperSize="9" scale="46" orientation="landscape"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BC5DD31B-BEE0-4450-BE69-92DFEBAED46F}">
          <x14:formula1>
            <xm:f>Lists!$B$14:$B$18</xm:f>
          </x14:formula1>
          <xm:sqref>C16</xm:sqref>
        </x14:dataValidation>
        <x14:dataValidation type="list" allowBlank="1" showInputMessage="1" showErrorMessage="1" xr:uid="{082C9EFC-B83A-4D59-86F1-972F1DA9C755}">
          <x14:formula1>
            <xm:f>Lists!$B$61:$B$184</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autoPageBreaks="0"/>
  </sheetPr>
  <dimension ref="A2:U35"/>
  <sheetViews>
    <sheetView showGridLines="0" workbookViewId="0">
      <selection activeCell="A26" sqref="A26"/>
    </sheetView>
  </sheetViews>
  <sheetFormatPr defaultRowHeight="14.5" x14ac:dyDescent="0.35"/>
  <cols>
    <col min="1" max="1" width="10.1796875" bestFit="1" customWidth="1"/>
    <col min="2" max="2" width="63.453125" customWidth="1"/>
    <col min="3" max="3" width="32.7265625" customWidth="1"/>
    <col min="4" max="4" width="29.1796875" bestFit="1" customWidth="1"/>
    <col min="5" max="5" width="28" customWidth="1"/>
    <col min="6" max="6" width="30.1796875" customWidth="1"/>
    <col min="7" max="7" width="30.26953125" bestFit="1" customWidth="1"/>
    <col min="8" max="8" width="38.7265625" bestFit="1" customWidth="1"/>
    <col min="9" max="9" width="25.7265625" bestFit="1" customWidth="1"/>
    <col min="10" max="10" width="22.7265625" bestFit="1" customWidth="1"/>
  </cols>
  <sheetData>
    <row r="2" spans="1:6" x14ac:dyDescent="0.35">
      <c r="B2" t="s">
        <v>49</v>
      </c>
    </row>
    <row r="4" spans="1:6" x14ac:dyDescent="0.35">
      <c r="B4" t="s">
        <v>50</v>
      </c>
    </row>
    <row r="6" spans="1:6" x14ac:dyDescent="0.35">
      <c r="B6" t="s">
        <v>399</v>
      </c>
    </row>
    <row r="7" spans="1:6" x14ac:dyDescent="0.35">
      <c r="A7" t="s">
        <v>51</v>
      </c>
      <c r="B7" s="13" t="s">
        <v>401</v>
      </c>
      <c r="C7" s="13" t="s">
        <v>410</v>
      </c>
      <c r="D7" s="14" t="s">
        <v>411</v>
      </c>
      <c r="E7" s="13" t="s">
        <v>412</v>
      </c>
      <c r="F7" s="13" t="s">
        <v>550</v>
      </c>
    </row>
    <row r="8" spans="1:6" x14ac:dyDescent="0.35">
      <c r="A8" t="s">
        <v>52</v>
      </c>
      <c r="B8" s="11" t="str">
        <f>'Dashboard-RCRD'!C10</f>
        <v>Airedale NHS Foundation Trust</v>
      </c>
      <c r="C8" s="11" t="str" cm="1">
        <f t="array" aca="1" ref="C8" ca="1">VLOOKUP(selected_trust_xc_rcrd,INDIRECT(table_trust_ca_assoc),2)</f>
        <v>RCF</v>
      </c>
      <c r="D8" s="12" t="str" cm="1">
        <f t="array" aca="1" ref="D8" ca="1">VLOOKUP(selected_trust_xc_rcrd,INDIRECT(table_trust_ca_assoc),3)</f>
        <v>West Yorkshire and Harrogate</v>
      </c>
      <c r="E8" s="43" cm="1">
        <f t="array" aca="1" ref="E8" ca="1">VLOOKUP(selected_trust_xc_rcrd,INDIRECT(table_trust_ca_assoc),4)</f>
        <v>0</v>
      </c>
      <c r="F8" s="11">
        <f ca="1">VLOOKUP(selected_trust_ca_name_xc_rcrd,INDIRECT(trusts_per_CA),2)</f>
        <v>6</v>
      </c>
    </row>
    <row r="9" spans="1:6" x14ac:dyDescent="0.35">
      <c r="D9" s="2"/>
    </row>
    <row r="10" spans="1:6" x14ac:dyDescent="0.35">
      <c r="B10" t="s">
        <v>400</v>
      </c>
      <c r="F10" s="2"/>
    </row>
    <row r="11" spans="1:6" x14ac:dyDescent="0.35">
      <c r="A11" t="s">
        <v>51</v>
      </c>
      <c r="B11" s="13" t="s">
        <v>406</v>
      </c>
      <c r="C11" s="13" t="s">
        <v>407</v>
      </c>
      <c r="D11" s="14" t="s">
        <v>408</v>
      </c>
      <c r="E11" s="13" t="s">
        <v>409</v>
      </c>
      <c r="F11" s="13" t="s">
        <v>551</v>
      </c>
    </row>
    <row r="12" spans="1:6" x14ac:dyDescent="0.35">
      <c r="A12" t="s">
        <v>52</v>
      </c>
      <c r="B12" s="11" t="str">
        <f>'Dashboard-COSD'!C10</f>
        <v>Airedale NHS Foundation Trust</v>
      </c>
      <c r="C12" s="11" t="str">
        <f ca="1">VLOOKUP(selected_trust_xc_cosd,INDIRECT(table_trust_ca_assoc),2)</f>
        <v>RCF</v>
      </c>
      <c r="D12" s="12" t="str">
        <f ca="1">VLOOKUP(selected_trust_xc_cosd,INDIRECT(table_trust_ca_assoc),3)</f>
        <v>West Yorkshire and Harrogate</v>
      </c>
      <c r="E12" s="43">
        <f ca="1">VLOOKUP(selected_trust_xc_cosd,INDIRECT(table_trust_ca_assoc),4)</f>
        <v>0</v>
      </c>
      <c r="F12" s="12" cm="1">
        <f t="array" aca="1" ref="F12" ca="1">VLOOKUP(selected_trust_ca_name_xc_cosd,INDIRECT(trusts_per_CA),2)</f>
        <v>6</v>
      </c>
    </row>
    <row r="13" spans="1:6" x14ac:dyDescent="0.35">
      <c r="D13" s="2"/>
      <c r="F13" s="2"/>
    </row>
    <row r="14" spans="1:6" x14ac:dyDescent="0.35">
      <c r="B14" t="s">
        <v>53</v>
      </c>
      <c r="F14" s="2"/>
    </row>
    <row r="15" spans="1:6" x14ac:dyDescent="0.35">
      <c r="A15" t="s">
        <v>51</v>
      </c>
      <c r="B15" s="13" t="s">
        <v>54</v>
      </c>
      <c r="C15" s="13" t="s">
        <v>55</v>
      </c>
      <c r="D15" s="14" t="s">
        <v>56</v>
      </c>
      <c r="E15" s="13" t="s">
        <v>57</v>
      </c>
      <c r="F15" s="2"/>
    </row>
    <row r="16" spans="1:6" x14ac:dyDescent="0.35">
      <c r="A16" t="s">
        <v>52</v>
      </c>
      <c r="B16" s="11" t="str">
        <f>'Dashboard-pt char'!C10</f>
        <v>Airedale NHS Foundation Trust</v>
      </c>
      <c r="C16" s="11" t="str">
        <f ca="1">VLOOKUP(selected_trust_ptc,INDIRECT(table_trust_ca_assoc),2)</f>
        <v>RCF</v>
      </c>
      <c r="D16" s="12" t="str">
        <f ca="1">VLOOKUP(selected_trust_ptc,INDIRECT(table_trust_ca_assoc),3)</f>
        <v>West Yorkshire and Harrogate</v>
      </c>
      <c r="E16" s="43">
        <f ca="1">VLOOKUP(selected_trust_ptc,INDIRECT(table_trust_ca_assoc),4)</f>
        <v>0</v>
      </c>
      <c r="F16" s="2"/>
    </row>
    <row r="17" spans="1:21" x14ac:dyDescent="0.35">
      <c r="F17" s="2"/>
    </row>
    <row r="18" spans="1:21" x14ac:dyDescent="0.35">
      <c r="B18" t="s">
        <v>58</v>
      </c>
      <c r="C18" s="2"/>
    </row>
    <row r="19" spans="1:21" x14ac:dyDescent="0.35">
      <c r="C19" s="2"/>
    </row>
    <row r="20" spans="1:21" x14ac:dyDescent="0.35">
      <c r="B20" t="s">
        <v>413</v>
      </c>
    </row>
    <row r="21" spans="1:21" x14ac:dyDescent="0.35">
      <c r="A21" t="s">
        <v>51</v>
      </c>
      <c r="B21" s="13" t="s">
        <v>569</v>
      </c>
      <c r="C21" s="14" t="s">
        <v>570</v>
      </c>
      <c r="D21" s="13" t="s">
        <v>571</v>
      </c>
      <c r="E21" s="13" t="s">
        <v>572</v>
      </c>
      <c r="F21" s="13" t="s">
        <v>573</v>
      </c>
      <c r="G21" s="13" t="s">
        <v>574</v>
      </c>
      <c r="H21" s="13" t="s">
        <v>575</v>
      </c>
      <c r="I21" s="13" t="s">
        <v>576</v>
      </c>
      <c r="J21" s="13" t="s">
        <v>577</v>
      </c>
      <c r="L21" s="1"/>
      <c r="O21" s="39"/>
      <c r="R21" s="36"/>
      <c r="U21" s="1" t="e">
        <f>Lists!#REF!</f>
        <v>#REF!</v>
      </c>
    </row>
    <row r="22" spans="1:21" x14ac:dyDescent="0.35">
      <c r="A22" t="s">
        <v>52</v>
      </c>
      <c r="B22" s="12" t="str">
        <f>'Dashboard-RCRD'!C16</f>
        <v>Data completeness for ethnicity</v>
      </c>
      <c r="C22" s="11" t="str">
        <f ca="1">INDEX(INDIRECT(rcrdq_cell_ref_matrix),MATCH(selected_rcrdq_descr_xc,INDIRECT(rcrdq_cell_ref_row_names),0),2)</f>
        <v>ethnicity_p</v>
      </c>
      <c r="D22" s="11">
        <f ca="1">INDEX(INDIRECT(rcrdq_cell_ref_matrix),MATCH(selected_rcrdq_descr_xc,INDIRECT(rcrdq_cell_ref_row_names),0),3)</f>
        <v>0.9</v>
      </c>
      <c r="E22" s="11" t="str">
        <f ca="1">INDEX(INDIRECT(rcrdq_cell_ref_matrix),MATCH(selected_rcrdq_descr_xc,INDIRECT(rcrdq_cell_ref_row_names),0),4)</f>
        <v>n_pat</v>
      </c>
      <c r="F22" s="11" t="str">
        <f ca="1">INDEX(INDIRECT(rcrdq_cell_ref_matrix),MATCH(selected_rcrdq_descr_xc,INDIRECT(rcrdq_cell_ref_row_names),0),5)</f>
        <v>Number of people in England diagnosed with non-Hodgkin lymphoma who have their ethnicity recorded</v>
      </c>
      <c r="G22" s="11" t="str">
        <f ca="1">INDEX(INDIRECT(rcrdq_cell_ref_matrix),MATCH(selected_rcrdq_descr_xc,INDIRECT(rcrdq_cell_ref_row_names),0),6)</f>
        <v>Number of people in England diagnosed with non-Hodgkin lymphoma</v>
      </c>
      <c r="H22" s="11" t="str">
        <f ca="1">INDEX(INDIRECT(rcrdq_cell_ref_matrix),MATCH(selected_rcrdq_descr_xc,INDIRECT(rcrdq_cell_ref_row_names),0),7)</f>
        <v xml:space="preserve">Rapid Cancer Registration Dataset (RCRD) </v>
      </c>
      <c r="I22" s="11" t="str">
        <f ca="1">INDEX(INDIRECT(rcrdq_cell_ref_matrix),MATCH(selected_rcrdq_descr_xc,INDIRECT(rcrdq_cell_ref_row_names),0),8)</f>
        <v>ETHNICCATEGORY</v>
      </c>
      <c r="J22" s="11" t="str">
        <f ca="1">INDEX(INDIRECT(rcrdq_cell_ref_matrix),MATCH(selected_rcrdq_descr_xc,INDIRECT(rcrdq_cell_ref_row_names),0),9)</f>
        <v>Q4 2022 to Q3 2023</v>
      </c>
    </row>
    <row r="23" spans="1:21" x14ac:dyDescent="0.35">
      <c r="B23" s="2"/>
    </row>
    <row r="24" spans="1:21" x14ac:dyDescent="0.35">
      <c r="B24" t="s">
        <v>414</v>
      </c>
    </row>
    <row r="26" spans="1:21" x14ac:dyDescent="0.35">
      <c r="A26" t="s">
        <v>51</v>
      </c>
      <c r="B26" s="13" t="s">
        <v>578</v>
      </c>
      <c r="C26" s="14" t="s">
        <v>586</v>
      </c>
      <c r="D26" s="13" t="s">
        <v>585</v>
      </c>
      <c r="E26" s="13" t="s">
        <v>584</v>
      </c>
      <c r="F26" s="13" t="s">
        <v>583</v>
      </c>
      <c r="G26" s="13" t="s">
        <v>579</v>
      </c>
      <c r="H26" s="13" t="s">
        <v>580</v>
      </c>
      <c r="I26" s="13" t="s">
        <v>581</v>
      </c>
      <c r="J26" s="13" t="s">
        <v>582</v>
      </c>
    </row>
    <row r="27" spans="1:21" x14ac:dyDescent="0.35">
      <c r="A27" t="s">
        <v>52</v>
      </c>
      <c r="B27" s="12" t="str">
        <f>'Dashboard-COSD'!C16</f>
        <v>Data completeness for Revised International Prognostic Index (R-IPI)</v>
      </c>
      <c r="C27" s="11" t="str">
        <f ca="1">INDEX(INDIRECT(cosdq_cell_ref_matrix),MATCH(selected_cosdq_descr_xc,INDIRECT(cosdq_cell_ref_row_names),0),2)</f>
        <v>IPI_p</v>
      </c>
      <c r="D27" s="11">
        <f ca="1">INDEX(INDIRECT(cosdq_cell_ref_matrix),MATCH(selected_cosdq_descr_xc,INDIRECT(cosdq_cell_ref_row_names),0),3)</f>
        <v>0.9</v>
      </c>
      <c r="E27" s="11" t="str">
        <f ca="1">INDEX(INDIRECT(cosdq_cell_ref_matrix),MATCH(selected_cosdq_descr_xc,INDIRECT(cosdq_cell_ref_row_names),0),4)</f>
        <v>n_pat_LBCL</v>
      </c>
      <c r="F27" s="11" t="str">
        <f ca="1">INDEX(INDIRECT(cosdq_cell_ref_matrix),MATCH(selected_cosdq_descr_xc,INDIRECT(cosdq_cell_ref_row_names),0),5)</f>
        <v>Number of people in England diagnosed with large b cell lymphoma who have a Revised International Prognostic Index score recorded</v>
      </c>
      <c r="G27" s="11" t="str">
        <f ca="1">INDEX(INDIRECT(cosdq_cell_ref_matrix),MATCH(selected_cosdq_descr_xc,INDIRECT(cosdq_cell_ref_row_names),0),6)</f>
        <v>Number of people in England diagnosed with large b cell lymphoma</v>
      </c>
      <c r="H27" s="11" t="str">
        <f ca="1">INDEX(INDIRECT(cosdq_cell_ref_matrix),MATCH(selected_cosdq_descr_xc,INDIRECT(cosdq_cell_ref_row_names),0),7)</f>
        <v>Cancer Outcomes and Services Dataset (COSD)</v>
      </c>
      <c r="I27" s="11" t="str">
        <f ca="1">INDEX(INDIRECT(cosdq_cell_ref_matrix),MATCH(selected_cosdq_descr_xc,INDIRECT(cosdq_cell_ref_row_names),0),8)</f>
        <v>HA8450</v>
      </c>
      <c r="J27" s="11" t="str">
        <f ca="1">INDEX(INDIRECT(cosdq_cell_ref_matrix),MATCH(selected_cosdq_descr_xc,INDIRECT(cosdq_cell_ref_row_names),0),9)</f>
        <v>Q3 2021 to Q2 2022</v>
      </c>
    </row>
    <row r="28" spans="1:21" x14ac:dyDescent="0.35">
      <c r="C28" s="2"/>
    </row>
    <row r="29" spans="1:21" x14ac:dyDescent="0.35">
      <c r="B29" t="s">
        <v>418</v>
      </c>
      <c r="C29" s="13" t="s">
        <v>415</v>
      </c>
      <c r="D29" s="13" t="s">
        <v>416</v>
      </c>
      <c r="E29" s="13" t="s">
        <v>423</v>
      </c>
      <c r="F29" s="13" t="s">
        <v>417</v>
      </c>
    </row>
    <row r="30" spans="1:21" x14ac:dyDescent="0.35">
      <c r="C30" s="12">
        <f ca="1">'Dashboard-RCRD'!$G$28</f>
        <v>27</v>
      </c>
      <c r="D30" s="94">
        <f ca="1">'Dashboard-RCRD'!$F$28</f>
        <v>0.98</v>
      </c>
      <c r="E30" s="11">
        <v>0</v>
      </c>
      <c r="F30" s="11">
        <f ca="1">IF(selected_rcrdq_target_xc="NA",NA(),selected_rcrdq_target_xc)</f>
        <v>0.9</v>
      </c>
    </row>
    <row r="31" spans="1:21" x14ac:dyDescent="0.35">
      <c r="C31" s="12">
        <f ca="1">C30</f>
        <v>27</v>
      </c>
      <c r="D31" s="11">
        <v>0</v>
      </c>
      <c r="E31" s="11">
        <f>n_trusts</f>
        <v>129</v>
      </c>
      <c r="F31" s="11">
        <f ca="1">F30</f>
        <v>0.9</v>
      </c>
    </row>
    <row r="32" spans="1:21" x14ac:dyDescent="0.35">
      <c r="C32" s="2"/>
    </row>
    <row r="33" spans="2:6" x14ac:dyDescent="0.35">
      <c r="B33" t="s">
        <v>419</v>
      </c>
      <c r="C33" s="13" t="s">
        <v>420</v>
      </c>
      <c r="D33" s="13" t="s">
        <v>421</v>
      </c>
      <c r="E33" s="13" t="s">
        <v>422</v>
      </c>
      <c r="F33" s="13" t="s">
        <v>424</v>
      </c>
    </row>
    <row r="34" spans="2:6" x14ac:dyDescent="0.35">
      <c r="C34" s="12">
        <f ca="1">'Dashboard-COSD'!G27</f>
        <v>52</v>
      </c>
      <c r="D34" s="94">
        <f ca="1">'Dashboard-COSD'!F27</f>
        <v>0</v>
      </c>
      <c r="E34" s="11">
        <v>0</v>
      </c>
      <c r="F34" s="11" cm="1">
        <f t="array" aca="1" ref="F34" ca="1">IF(selected_cosdq_target_xc="NA",NA(),selected_cosdq_target_xc)</f>
        <v>0.9</v>
      </c>
    </row>
    <row r="35" spans="2:6" x14ac:dyDescent="0.35">
      <c r="C35" s="12">
        <f ca="1">C34</f>
        <v>52</v>
      </c>
      <c r="D35" s="11">
        <v>0</v>
      </c>
      <c r="E35" s="11">
        <f>n_trusts</f>
        <v>129</v>
      </c>
      <c r="F35" s="11">
        <f ca="1">F34</f>
        <v>0.9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B2:M189"/>
  <sheetViews>
    <sheetView zoomScale="90" zoomScaleNormal="90" workbookViewId="0">
      <selection activeCell="H33" sqref="H33"/>
    </sheetView>
  </sheetViews>
  <sheetFormatPr defaultRowHeight="14.5" x14ac:dyDescent="0.35"/>
  <cols>
    <col min="1" max="1" width="3.7265625" customWidth="1"/>
    <col min="2" max="2" width="51.54296875" bestFit="1" customWidth="1"/>
    <col min="3" max="3" width="32.7265625" bestFit="1" customWidth="1"/>
    <col min="4" max="4" width="19.7265625" customWidth="1"/>
    <col min="5" max="5" width="20.7265625" customWidth="1"/>
    <col min="6" max="6" width="23.54296875" customWidth="1"/>
    <col min="7" max="7" width="43.453125" bestFit="1" customWidth="1"/>
    <col min="8" max="8" width="22.26953125" bestFit="1" customWidth="1"/>
    <col min="9" max="9" width="15.7265625" customWidth="1"/>
    <col min="10" max="10" width="37.7265625" bestFit="1" customWidth="1"/>
    <col min="11" max="11" width="32.7265625" bestFit="1" customWidth="1"/>
    <col min="12" max="12" width="16.7265625" bestFit="1" customWidth="1"/>
    <col min="13" max="14" width="5" bestFit="1" customWidth="1"/>
  </cols>
  <sheetData>
    <row r="2" spans="2:13" x14ac:dyDescent="0.35">
      <c r="B2" t="s">
        <v>761</v>
      </c>
    </row>
    <row r="4" spans="2:13" x14ac:dyDescent="0.35">
      <c r="B4" t="s">
        <v>59</v>
      </c>
      <c r="E4" s="11" t="s">
        <v>359</v>
      </c>
      <c r="F4" s="11" t="s">
        <v>361</v>
      </c>
      <c r="G4" s="11" t="s">
        <v>360</v>
      </c>
      <c r="H4" s="11" t="s">
        <v>362</v>
      </c>
    </row>
    <row r="5" spans="2:13" x14ac:dyDescent="0.35">
      <c r="B5" s="41" t="s">
        <v>60</v>
      </c>
      <c r="E5" s="11" t="s">
        <v>52</v>
      </c>
      <c r="F5" s="43" t="s">
        <v>333</v>
      </c>
      <c r="G5" s="43" t="s">
        <v>369</v>
      </c>
      <c r="H5" s="43" t="s">
        <v>363</v>
      </c>
    </row>
    <row r="6" spans="2:13" x14ac:dyDescent="0.35">
      <c r="B6" s="42" t="s">
        <v>61</v>
      </c>
    </row>
    <row r="7" spans="2:13" x14ac:dyDescent="0.35">
      <c r="B7" s="140" t="s">
        <v>762</v>
      </c>
    </row>
    <row r="9" spans="2:13" x14ac:dyDescent="0.35">
      <c r="B9" s="1" t="s">
        <v>391</v>
      </c>
    </row>
    <row r="10" spans="2:13" x14ac:dyDescent="0.35">
      <c r="I10" s="3" t="s">
        <v>686</v>
      </c>
    </row>
    <row r="11" spans="2:13" x14ac:dyDescent="0.35">
      <c r="B11" s="17" t="s">
        <v>62</v>
      </c>
      <c r="C11" s="85" t="s">
        <v>587</v>
      </c>
      <c r="D11" s="85" t="s">
        <v>588</v>
      </c>
      <c r="E11" s="85" t="s">
        <v>589</v>
      </c>
      <c r="F11" s="85" t="s">
        <v>590</v>
      </c>
      <c r="I11" s="34" t="s">
        <v>595</v>
      </c>
    </row>
    <row r="12" spans="2:13" x14ac:dyDescent="0.35">
      <c r="B12" s="17" t="s">
        <v>63</v>
      </c>
      <c r="C12" s="43" t="s">
        <v>763</v>
      </c>
      <c r="D12" s="43" t="s">
        <v>764</v>
      </c>
      <c r="E12" s="43" t="s">
        <v>765</v>
      </c>
      <c r="F12" s="43" t="s">
        <v>766</v>
      </c>
      <c r="I12" t="s">
        <v>610</v>
      </c>
    </row>
    <row r="13" spans="2:13" x14ac:dyDescent="0.35">
      <c r="B13" s="41" t="s">
        <v>393</v>
      </c>
      <c r="C13" s="13" t="s">
        <v>394</v>
      </c>
      <c r="D13" s="42" t="s">
        <v>22</v>
      </c>
      <c r="E13" s="13" t="s">
        <v>395</v>
      </c>
      <c r="F13" s="42" t="s">
        <v>15</v>
      </c>
      <c r="G13" s="42" t="s">
        <v>16</v>
      </c>
      <c r="H13" s="42" t="s">
        <v>19</v>
      </c>
      <c r="I13" s="42" t="s">
        <v>20</v>
      </c>
      <c r="J13" s="42" t="s">
        <v>24</v>
      </c>
      <c r="K13" s="121" t="s">
        <v>615</v>
      </c>
      <c r="L13" s="86" t="s">
        <v>618</v>
      </c>
    </row>
    <row r="14" spans="2:13" x14ac:dyDescent="0.35">
      <c r="B14" s="11" t="s">
        <v>625</v>
      </c>
      <c r="C14" s="11" t="s">
        <v>64</v>
      </c>
      <c r="D14" s="11">
        <v>0.9</v>
      </c>
      <c r="E14" s="11" t="s">
        <v>425</v>
      </c>
      <c r="F14" s="11" t="s">
        <v>668</v>
      </c>
      <c r="G14" s="11" t="s">
        <v>664</v>
      </c>
      <c r="H14" s="11" t="s">
        <v>542</v>
      </c>
      <c r="I14" s="11" t="s">
        <v>612</v>
      </c>
      <c r="J14" s="11" t="str" cm="1">
        <f t="array" ref="J14">start_date_rcrd&amp;" to "&amp;end_date_rcrd</f>
        <v>Q4 2022 to Q3 2023</v>
      </c>
    </row>
    <row r="15" spans="2:13" x14ac:dyDescent="0.35">
      <c r="B15" s="11" t="s">
        <v>642</v>
      </c>
      <c r="C15" s="11" t="s">
        <v>65</v>
      </c>
      <c r="D15" s="11">
        <v>0.9</v>
      </c>
      <c r="E15" s="11" t="s">
        <v>425</v>
      </c>
      <c r="F15" s="11" t="s">
        <v>669</v>
      </c>
      <c r="G15" s="11" t="s">
        <v>664</v>
      </c>
      <c r="H15" s="11" t="s">
        <v>542</v>
      </c>
      <c r="I15" s="11" t="s">
        <v>613</v>
      </c>
      <c r="J15" s="11" t="str" cm="1">
        <f t="array" ref="J15">start_date_rcrd&amp;" to "&amp;end_date_rcrd</f>
        <v>Q4 2022 to Q3 2023</v>
      </c>
      <c r="L15" t="s">
        <v>617</v>
      </c>
      <c r="M15" t="s">
        <v>32</v>
      </c>
    </row>
    <row r="16" spans="2:13" x14ac:dyDescent="0.35">
      <c r="B16" s="11" t="s">
        <v>626</v>
      </c>
      <c r="C16" s="11" t="s">
        <v>66</v>
      </c>
      <c r="D16" s="11">
        <v>0.9</v>
      </c>
      <c r="E16" s="11" t="s">
        <v>425</v>
      </c>
      <c r="F16" s="11" t="s">
        <v>670</v>
      </c>
      <c r="G16" s="11" t="s">
        <v>664</v>
      </c>
      <c r="H16" s="11" t="s">
        <v>542</v>
      </c>
      <c r="I16" s="11" t="s">
        <v>614</v>
      </c>
      <c r="J16" s="11" t="str" cm="1">
        <f t="array" ref="J16">start_date_rcrd&amp;" to "&amp;end_date_rcrd</f>
        <v>Q4 2022 to Q3 2023</v>
      </c>
      <c r="K16" t="s">
        <v>616</v>
      </c>
      <c r="L16" t="s">
        <v>32</v>
      </c>
    </row>
    <row r="17" spans="2:13" x14ac:dyDescent="0.35">
      <c r="B17" s="11" t="s">
        <v>627</v>
      </c>
      <c r="C17" s="11" t="s">
        <v>67</v>
      </c>
      <c r="D17" s="11">
        <v>0.9</v>
      </c>
      <c r="E17" s="11" t="s">
        <v>425</v>
      </c>
      <c r="F17" s="11" t="s">
        <v>671</v>
      </c>
      <c r="G17" s="11" t="s">
        <v>664</v>
      </c>
      <c r="H17" s="11" t="s">
        <v>542</v>
      </c>
      <c r="I17" s="11" t="s">
        <v>619</v>
      </c>
      <c r="J17" s="11" t="str" cm="1">
        <f t="array" ref="J17">start_date_rcrd&amp;" to "&amp;end_date_rcrd</f>
        <v>Q4 2022 to Q3 2023</v>
      </c>
      <c r="L17" t="s">
        <v>620</v>
      </c>
      <c r="M17" t="s">
        <v>32</v>
      </c>
    </row>
    <row r="18" spans="2:13" x14ac:dyDescent="0.35">
      <c r="B18" s="11" t="s">
        <v>628</v>
      </c>
      <c r="C18" s="11" t="s">
        <v>68</v>
      </c>
      <c r="D18" s="11">
        <v>0.9</v>
      </c>
      <c r="E18" s="11" t="s">
        <v>425</v>
      </c>
      <c r="F18" s="11" t="s">
        <v>672</v>
      </c>
      <c r="G18" s="11" t="s">
        <v>664</v>
      </c>
      <c r="H18" s="11" t="s">
        <v>542</v>
      </c>
      <c r="I18" s="11" t="s">
        <v>621</v>
      </c>
      <c r="J18" s="11" t="str" cm="1">
        <f t="array" ref="J18">start_date_rcrd&amp;" to "&amp;end_date_rcrd</f>
        <v>Q4 2022 to Q3 2023</v>
      </c>
      <c r="L18" t="s">
        <v>622</v>
      </c>
      <c r="M18" t="s">
        <v>32</v>
      </c>
    </row>
    <row r="20" spans="2:13" x14ac:dyDescent="0.35">
      <c r="B20" s="1" t="s">
        <v>392</v>
      </c>
    </row>
    <row r="21" spans="2:13" x14ac:dyDescent="0.35">
      <c r="I21" s="3" t="s">
        <v>743</v>
      </c>
    </row>
    <row r="22" spans="2:13" x14ac:dyDescent="0.35">
      <c r="B22" s="17" t="s">
        <v>62</v>
      </c>
      <c r="C22" s="85" t="s">
        <v>661</v>
      </c>
      <c r="D22" s="85" t="s">
        <v>643</v>
      </c>
      <c r="E22" s="85" t="s">
        <v>644</v>
      </c>
      <c r="F22" s="85" t="s">
        <v>645</v>
      </c>
      <c r="I22" s="34" t="s">
        <v>594</v>
      </c>
    </row>
    <row r="23" spans="2:13" x14ac:dyDescent="0.35">
      <c r="B23" s="17" t="s">
        <v>63</v>
      </c>
      <c r="C23" s="43" t="s">
        <v>767</v>
      </c>
      <c r="D23" s="43" t="s">
        <v>768</v>
      </c>
      <c r="E23" s="43" t="s">
        <v>769</v>
      </c>
      <c r="F23" s="43" t="s">
        <v>770</v>
      </c>
      <c r="I23" t="s">
        <v>611</v>
      </c>
    </row>
    <row r="24" spans="2:13" x14ac:dyDescent="0.35">
      <c r="B24" s="41" t="s">
        <v>396</v>
      </c>
      <c r="C24" s="13" t="s">
        <v>397</v>
      </c>
      <c r="D24" s="42" t="s">
        <v>22</v>
      </c>
      <c r="E24" s="13" t="s">
        <v>398</v>
      </c>
      <c r="F24" s="42" t="s">
        <v>15</v>
      </c>
      <c r="G24" s="42" t="s">
        <v>16</v>
      </c>
      <c r="H24" s="42" t="s">
        <v>19</v>
      </c>
      <c r="I24" s="95" t="s">
        <v>20</v>
      </c>
      <c r="J24" s="42" t="s">
        <v>24</v>
      </c>
    </row>
    <row r="25" spans="2:13" x14ac:dyDescent="0.35">
      <c r="B25" s="11" t="s">
        <v>629</v>
      </c>
      <c r="C25" s="11" t="s">
        <v>654</v>
      </c>
      <c r="D25" s="11">
        <v>0.9</v>
      </c>
      <c r="E25" s="11" t="s">
        <v>591</v>
      </c>
      <c r="F25" s="11" t="s">
        <v>673</v>
      </c>
      <c r="G25" s="11" t="s">
        <v>665</v>
      </c>
      <c r="H25" s="11" t="s">
        <v>777</v>
      </c>
      <c r="I25" s="11" t="s">
        <v>601</v>
      </c>
      <c r="J25" s="11" t="str">
        <f t="shared" ref="J25:J33" si="0">start_date_cosd&amp;" to "&amp;end_date_cosd</f>
        <v>Q3 2021 to Q2 2022</v>
      </c>
    </row>
    <row r="26" spans="2:13" x14ac:dyDescent="0.35">
      <c r="B26" s="11" t="s">
        <v>630</v>
      </c>
      <c r="C26" s="11" t="s">
        <v>653</v>
      </c>
      <c r="D26" s="11">
        <v>0.9</v>
      </c>
      <c r="E26" s="11" t="s">
        <v>592</v>
      </c>
      <c r="F26" s="11" t="s">
        <v>674</v>
      </c>
      <c r="G26" s="11" t="s">
        <v>666</v>
      </c>
      <c r="H26" s="11" t="s">
        <v>777</v>
      </c>
      <c r="I26" s="11" t="s">
        <v>600</v>
      </c>
      <c r="J26" s="11" t="str">
        <f t="shared" si="0"/>
        <v>Q3 2021 to Q2 2022</v>
      </c>
    </row>
    <row r="27" spans="2:13" x14ac:dyDescent="0.35">
      <c r="B27" s="11" t="s">
        <v>631</v>
      </c>
      <c r="C27" s="11" t="s">
        <v>652</v>
      </c>
      <c r="D27" s="11">
        <v>0.9</v>
      </c>
      <c r="E27" s="11" t="s">
        <v>593</v>
      </c>
      <c r="F27" s="11" t="s">
        <v>675</v>
      </c>
      <c r="G27" s="11" t="s">
        <v>667</v>
      </c>
      <c r="H27" s="11" t="s">
        <v>777</v>
      </c>
      <c r="I27" s="11" t="s">
        <v>602</v>
      </c>
      <c r="J27" s="11" t="str">
        <f t="shared" si="0"/>
        <v>Q3 2021 to Q2 2022</v>
      </c>
    </row>
    <row r="28" spans="2:13" x14ac:dyDescent="0.35">
      <c r="B28" s="11" t="s">
        <v>632</v>
      </c>
      <c r="C28" s="11" t="s">
        <v>647</v>
      </c>
      <c r="D28" s="11">
        <v>0.9</v>
      </c>
      <c r="E28" s="11" t="s">
        <v>425</v>
      </c>
      <c r="F28" s="11" t="s">
        <v>676</v>
      </c>
      <c r="G28" s="11" t="s">
        <v>664</v>
      </c>
      <c r="H28" s="11" t="s">
        <v>777</v>
      </c>
      <c r="I28" s="11" t="s">
        <v>604</v>
      </c>
      <c r="J28" s="11" t="str">
        <f t="shared" si="0"/>
        <v>Q3 2021 to Q2 2022</v>
      </c>
    </row>
    <row r="29" spans="2:13" x14ac:dyDescent="0.35">
      <c r="B29" s="43" t="s">
        <v>633</v>
      </c>
      <c r="C29" s="11" t="s">
        <v>649</v>
      </c>
      <c r="D29" s="11">
        <v>0.9</v>
      </c>
      <c r="E29" s="11" t="s">
        <v>425</v>
      </c>
      <c r="F29" s="11" t="s">
        <v>677</v>
      </c>
      <c r="G29" s="11" t="s">
        <v>664</v>
      </c>
      <c r="H29" s="11" t="s">
        <v>777</v>
      </c>
      <c r="I29" s="11" t="s">
        <v>606</v>
      </c>
      <c r="J29" s="11" t="str">
        <f t="shared" si="0"/>
        <v>Q3 2021 to Q2 2022</v>
      </c>
    </row>
    <row r="30" spans="2:13" x14ac:dyDescent="0.35">
      <c r="B30" s="11" t="s">
        <v>634</v>
      </c>
      <c r="C30" s="11" t="s">
        <v>651</v>
      </c>
      <c r="D30" s="11">
        <v>0.9</v>
      </c>
      <c r="E30" s="11" t="s">
        <v>425</v>
      </c>
      <c r="F30" s="11" t="s">
        <v>678</v>
      </c>
      <c r="G30" s="11" t="s">
        <v>664</v>
      </c>
      <c r="H30" s="11" t="s">
        <v>777</v>
      </c>
      <c r="I30" s="11" t="s">
        <v>605</v>
      </c>
      <c r="J30" s="11" t="str">
        <f t="shared" si="0"/>
        <v>Q3 2021 to Q2 2022</v>
      </c>
    </row>
    <row r="31" spans="2:13" x14ac:dyDescent="0.35">
      <c r="B31" s="43" t="s">
        <v>635</v>
      </c>
      <c r="C31" s="11" t="s">
        <v>648</v>
      </c>
      <c r="D31" s="11">
        <v>0.9</v>
      </c>
      <c r="E31" s="11" t="s">
        <v>425</v>
      </c>
      <c r="F31" s="11" t="s">
        <v>679</v>
      </c>
      <c r="G31" s="11" t="s">
        <v>664</v>
      </c>
      <c r="H31" s="11" t="s">
        <v>777</v>
      </c>
      <c r="I31" s="11" t="s">
        <v>607</v>
      </c>
      <c r="J31" s="11" t="str">
        <f t="shared" si="0"/>
        <v>Q3 2021 to Q2 2022</v>
      </c>
    </row>
    <row r="32" spans="2:13" x14ac:dyDescent="0.35">
      <c r="B32" s="43" t="s">
        <v>636</v>
      </c>
      <c r="C32" s="11" t="s">
        <v>650</v>
      </c>
      <c r="D32" s="11">
        <v>0.9</v>
      </c>
      <c r="E32" s="11" t="s">
        <v>425</v>
      </c>
      <c r="F32" s="11" t="s">
        <v>680</v>
      </c>
      <c r="G32" s="11" t="s">
        <v>664</v>
      </c>
      <c r="H32" s="11" t="s">
        <v>777</v>
      </c>
      <c r="I32" s="11" t="s">
        <v>608</v>
      </c>
      <c r="J32" s="11" t="str">
        <f t="shared" si="0"/>
        <v>Q3 2021 to Q2 2022</v>
      </c>
    </row>
    <row r="33" spans="2:13" x14ac:dyDescent="0.35">
      <c r="B33" s="11" t="s">
        <v>637</v>
      </c>
      <c r="C33" s="11" t="s">
        <v>646</v>
      </c>
      <c r="D33" s="11">
        <v>0.9</v>
      </c>
      <c r="E33" s="11" t="s">
        <v>425</v>
      </c>
      <c r="F33" s="11" t="s">
        <v>681</v>
      </c>
      <c r="G33" s="11" t="s">
        <v>664</v>
      </c>
      <c r="H33" s="11" t="s">
        <v>777</v>
      </c>
      <c r="I33" s="11" t="s">
        <v>609</v>
      </c>
      <c r="J33" s="11" t="str">
        <f t="shared" si="0"/>
        <v>Q3 2021 to Q2 2022</v>
      </c>
    </row>
    <row r="35" spans="2:13" x14ac:dyDescent="0.35">
      <c r="B35" s="1" t="s">
        <v>515</v>
      </c>
      <c r="F35" s="1" t="s">
        <v>516</v>
      </c>
      <c r="J35" s="1" t="s">
        <v>522</v>
      </c>
    </row>
    <row r="37" spans="2:13" x14ac:dyDescent="0.35">
      <c r="B37" t="s">
        <v>69</v>
      </c>
      <c r="C37" t="s">
        <v>63</v>
      </c>
      <c r="D37" t="s">
        <v>62</v>
      </c>
      <c r="F37" t="s">
        <v>69</v>
      </c>
      <c r="G37" t="s">
        <v>63</v>
      </c>
      <c r="H37" t="s">
        <v>62</v>
      </c>
      <c r="J37" t="s">
        <v>69</v>
      </c>
      <c r="K37" t="s">
        <v>63</v>
      </c>
      <c r="L37" t="s">
        <v>62</v>
      </c>
    </row>
    <row r="38" spans="2:13" x14ac:dyDescent="0.35">
      <c r="B38" s="11" t="s">
        <v>529</v>
      </c>
      <c r="C38" s="11" t="s">
        <v>638</v>
      </c>
      <c r="D38" s="11" t="s">
        <v>517</v>
      </c>
      <c r="F38" s="11" t="s">
        <v>532</v>
      </c>
      <c r="G38" s="11" t="s">
        <v>657</v>
      </c>
      <c r="H38" s="11" t="s">
        <v>523</v>
      </c>
      <c r="J38" s="11" t="s">
        <v>70</v>
      </c>
      <c r="K38" s="11" t="s">
        <v>543</v>
      </c>
      <c r="L38" s="11" t="s">
        <v>71</v>
      </c>
      <c r="M38" s="78" t="s">
        <v>547</v>
      </c>
    </row>
    <row r="39" spans="2:13" x14ac:dyDescent="0.35">
      <c r="B39" s="11" t="s">
        <v>530</v>
      </c>
      <c r="C39" s="11" t="s">
        <v>568</v>
      </c>
      <c r="D39" s="11" t="s">
        <v>518</v>
      </c>
      <c r="F39" s="11" t="s">
        <v>533</v>
      </c>
      <c r="G39" s="11" t="s">
        <v>658</v>
      </c>
      <c r="H39" s="11" t="s">
        <v>524</v>
      </c>
      <c r="J39" s="11" t="s">
        <v>72</v>
      </c>
      <c r="K39" s="11" t="s">
        <v>545</v>
      </c>
      <c r="L39" s="11" t="s">
        <v>73</v>
      </c>
    </row>
    <row r="40" spans="2:13" x14ac:dyDescent="0.35">
      <c r="B40" s="11" t="s">
        <v>531</v>
      </c>
      <c r="C40" s="11" t="s">
        <v>639</v>
      </c>
      <c r="D40" s="11" t="s">
        <v>519</v>
      </c>
      <c r="F40" s="11" t="s">
        <v>534</v>
      </c>
      <c r="G40" s="11" t="s">
        <v>528</v>
      </c>
      <c r="H40" s="11" t="s">
        <v>525</v>
      </c>
      <c r="J40" s="11" t="s">
        <v>74</v>
      </c>
      <c r="K40" s="11" t="s">
        <v>544</v>
      </c>
      <c r="L40" s="11" t="s">
        <v>75</v>
      </c>
    </row>
    <row r="41" spans="2:13" x14ac:dyDescent="0.35">
      <c r="B41" s="11" t="s">
        <v>529</v>
      </c>
      <c r="C41" s="11" t="s">
        <v>640</v>
      </c>
      <c r="D41" s="11" t="s">
        <v>558</v>
      </c>
      <c r="F41" s="11" t="s">
        <v>532</v>
      </c>
      <c r="G41" s="11" t="s">
        <v>554</v>
      </c>
      <c r="H41" s="11" t="s">
        <v>559</v>
      </c>
      <c r="J41" s="11" t="s">
        <v>70</v>
      </c>
      <c r="K41" s="11" t="s">
        <v>552</v>
      </c>
      <c r="L41" s="11" t="s">
        <v>560</v>
      </c>
      <c r="M41" s="78" t="s">
        <v>547</v>
      </c>
    </row>
    <row r="42" spans="2:13" x14ac:dyDescent="0.35">
      <c r="B42" s="11" t="s">
        <v>530</v>
      </c>
      <c r="C42" s="11" t="s">
        <v>557</v>
      </c>
      <c r="D42" s="11" t="s">
        <v>561</v>
      </c>
      <c r="F42" s="11" t="s">
        <v>533</v>
      </c>
      <c r="G42" s="11" t="s">
        <v>555</v>
      </c>
      <c r="H42" s="11" t="s">
        <v>562</v>
      </c>
      <c r="J42" s="11" t="s">
        <v>76</v>
      </c>
      <c r="K42" s="11" t="s">
        <v>553</v>
      </c>
      <c r="L42" s="11" t="s">
        <v>563</v>
      </c>
    </row>
    <row r="43" spans="2:13" x14ac:dyDescent="0.35">
      <c r="B43" s="11" t="s">
        <v>531</v>
      </c>
      <c r="C43" s="11" t="s">
        <v>641</v>
      </c>
      <c r="D43" s="11" t="s">
        <v>564</v>
      </c>
      <c r="F43" s="11" t="s">
        <v>534</v>
      </c>
      <c r="G43" s="11" t="s">
        <v>556</v>
      </c>
      <c r="H43" s="11" t="s">
        <v>565</v>
      </c>
      <c r="J43" s="11" t="s">
        <v>72</v>
      </c>
      <c r="K43" s="11" t="s">
        <v>698</v>
      </c>
      <c r="L43" s="11" t="s">
        <v>566</v>
      </c>
    </row>
    <row r="44" spans="2:13" x14ac:dyDescent="0.35">
      <c r="B44" s="11" t="s">
        <v>529</v>
      </c>
      <c r="C44" s="11" t="s">
        <v>623</v>
      </c>
      <c r="D44" s="11" t="s">
        <v>520</v>
      </c>
      <c r="F44" s="11" t="s">
        <v>532</v>
      </c>
      <c r="G44" s="11" t="s">
        <v>659</v>
      </c>
      <c r="H44" s="11" t="s">
        <v>526</v>
      </c>
      <c r="J44" s="11" t="s">
        <v>70</v>
      </c>
      <c r="K44" s="11" t="s">
        <v>548</v>
      </c>
      <c r="L44" s="11" t="s">
        <v>77</v>
      </c>
      <c r="M44" s="78" t="s">
        <v>547</v>
      </c>
    </row>
    <row r="45" spans="2:13" x14ac:dyDescent="0.35">
      <c r="B45" s="11" t="s">
        <v>531</v>
      </c>
      <c r="C45" s="11" t="s">
        <v>624</v>
      </c>
      <c r="D45" s="11" t="s">
        <v>521</v>
      </c>
      <c r="F45" s="11" t="s">
        <v>534</v>
      </c>
      <c r="G45" s="11" t="s">
        <v>660</v>
      </c>
      <c r="H45" s="11" t="s">
        <v>527</v>
      </c>
      <c r="J45" s="11" t="s">
        <v>76</v>
      </c>
      <c r="K45" s="11" t="s">
        <v>549</v>
      </c>
      <c r="L45" s="11" t="s">
        <v>78</v>
      </c>
    </row>
    <row r="47" spans="2:13" x14ac:dyDescent="0.35">
      <c r="B47" s="1" t="s">
        <v>756</v>
      </c>
    </row>
    <row r="48" spans="2:13" x14ac:dyDescent="0.35">
      <c r="B48" s="1"/>
    </row>
    <row r="49" spans="2:11" x14ac:dyDescent="0.35">
      <c r="B49" s="17" t="s">
        <v>51</v>
      </c>
      <c r="C49" s="11" t="s">
        <v>402</v>
      </c>
      <c r="D49" s="11" t="s">
        <v>403</v>
      </c>
      <c r="E49" s="11" t="s">
        <v>404</v>
      </c>
      <c r="F49" s="11" t="s">
        <v>405</v>
      </c>
      <c r="G49" s="11" t="s">
        <v>537</v>
      </c>
      <c r="H49" s="11" t="s">
        <v>538</v>
      </c>
      <c r="I49" s="11" t="s">
        <v>79</v>
      </c>
      <c r="J49" s="11" t="s">
        <v>80</v>
      </c>
      <c r="K49" s="11" t="s">
        <v>757</v>
      </c>
    </row>
    <row r="50" spans="2:11" x14ac:dyDescent="0.35">
      <c r="B50" s="17" t="s">
        <v>52</v>
      </c>
      <c r="C50" s="43" t="s">
        <v>540</v>
      </c>
      <c r="D50" s="43" t="s">
        <v>539</v>
      </c>
      <c r="E50" s="43" t="s">
        <v>535</v>
      </c>
      <c r="F50" s="43" t="s">
        <v>536</v>
      </c>
      <c r="G50" s="43" t="s">
        <v>541</v>
      </c>
      <c r="H50" s="43" t="s">
        <v>539</v>
      </c>
      <c r="I50" s="43">
        <v>2024</v>
      </c>
      <c r="J50" s="43" t="s">
        <v>367</v>
      </c>
      <c r="K50" s="43" t="s">
        <v>758</v>
      </c>
    </row>
    <row r="51" spans="2:11" x14ac:dyDescent="0.35">
      <c r="E51" s="53"/>
    </row>
    <row r="52" spans="2:11" x14ac:dyDescent="0.35">
      <c r="B52" s="1" t="s">
        <v>82</v>
      </c>
    </row>
    <row r="53" spans="2:11" x14ac:dyDescent="0.35">
      <c r="B53" s="17" t="s">
        <v>51</v>
      </c>
      <c r="C53" s="11" t="s">
        <v>83</v>
      </c>
      <c r="D53" s="11" t="s">
        <v>84</v>
      </c>
    </row>
    <row r="54" spans="2:11" x14ac:dyDescent="0.35">
      <c r="B54" s="17" t="s">
        <v>52</v>
      </c>
      <c r="C54" s="43">
        <f>COUNTA(Table1[trust_name])</f>
        <v>129</v>
      </c>
      <c r="D54" s="43">
        <f>COUNTA(G63:G83)</f>
        <v>21</v>
      </c>
    </row>
    <row r="56" spans="2:11" x14ac:dyDescent="0.35">
      <c r="B56" s="1" t="s">
        <v>85</v>
      </c>
      <c r="F56" t="s">
        <v>32</v>
      </c>
      <c r="G56" s="1" t="s">
        <v>567</v>
      </c>
      <c r="I56" t="s">
        <v>32</v>
      </c>
    </row>
    <row r="57" spans="2:11" x14ac:dyDescent="0.35">
      <c r="B57" s="3" t="s">
        <v>514</v>
      </c>
    </row>
    <row r="58" spans="2:11" x14ac:dyDescent="0.35">
      <c r="B58" s="17" t="s">
        <v>62</v>
      </c>
      <c r="C58" s="11" t="s">
        <v>86</v>
      </c>
      <c r="G58" s="17" t="s">
        <v>81</v>
      </c>
      <c r="H58" s="11" t="s">
        <v>87</v>
      </c>
    </row>
    <row r="59" spans="2:11" x14ac:dyDescent="0.35">
      <c r="B59" s="17" t="s">
        <v>63</v>
      </c>
      <c r="C59" s="43" t="s">
        <v>771</v>
      </c>
      <c r="G59" s="17" t="s">
        <v>63</v>
      </c>
      <c r="H59" s="43" t="s">
        <v>772</v>
      </c>
    </row>
    <row r="60" spans="2:11" x14ac:dyDescent="0.35">
      <c r="B60" s="76" t="s">
        <v>88</v>
      </c>
      <c r="C60" s="76" t="s">
        <v>89</v>
      </c>
      <c r="D60" s="77" t="s">
        <v>90</v>
      </c>
      <c r="E60" s="1" t="s">
        <v>91</v>
      </c>
      <c r="G60" s="122" t="s">
        <v>155</v>
      </c>
      <c r="H60" s="43">
        <f>MAX(H63:H83)</f>
        <v>14</v>
      </c>
    </row>
    <row r="61" spans="2:11" x14ac:dyDescent="0.35">
      <c r="B61" s="75" t="s">
        <v>31</v>
      </c>
      <c r="C61" s="75" t="s">
        <v>92</v>
      </c>
      <c r="D61" s="75" t="s">
        <v>93</v>
      </c>
      <c r="E61" s="35"/>
    </row>
    <row r="62" spans="2:11" x14ac:dyDescent="0.35">
      <c r="B62" s="75" t="s">
        <v>95</v>
      </c>
      <c r="C62" s="75" t="s">
        <v>96</v>
      </c>
      <c r="D62" s="75" t="s">
        <v>97</v>
      </c>
      <c r="E62" s="40"/>
      <c r="G62" s="74" t="s">
        <v>505</v>
      </c>
      <c r="H62" t="s">
        <v>513</v>
      </c>
    </row>
    <row r="63" spans="2:11" x14ac:dyDescent="0.35">
      <c r="B63" s="75" t="s">
        <v>99</v>
      </c>
      <c r="C63" s="75" t="s">
        <v>100</v>
      </c>
      <c r="D63" s="75" t="s">
        <v>101</v>
      </c>
      <c r="E63" s="40"/>
      <c r="G63" s="9" t="s">
        <v>94</v>
      </c>
      <c r="H63">
        <v>10</v>
      </c>
    </row>
    <row r="64" spans="2:11" x14ac:dyDescent="0.35">
      <c r="B64" s="75" t="s">
        <v>18</v>
      </c>
      <c r="C64" s="75" t="s">
        <v>103</v>
      </c>
      <c r="D64" s="75" t="s">
        <v>104</v>
      </c>
      <c r="E64" s="3"/>
      <c r="G64" s="9" t="s">
        <v>98</v>
      </c>
      <c r="H64">
        <v>7</v>
      </c>
    </row>
    <row r="65" spans="2:8" x14ac:dyDescent="0.35">
      <c r="B65" s="75" t="s">
        <v>106</v>
      </c>
      <c r="C65" s="75" t="s">
        <v>107</v>
      </c>
      <c r="D65" s="75" t="s">
        <v>101</v>
      </c>
      <c r="E65" s="40"/>
      <c r="G65" s="9" t="s">
        <v>102</v>
      </c>
      <c r="H65">
        <v>8</v>
      </c>
    </row>
    <row r="66" spans="2:8" x14ac:dyDescent="0.35">
      <c r="B66" s="75" t="s">
        <v>109</v>
      </c>
      <c r="C66" s="75" t="s">
        <v>110</v>
      </c>
      <c r="D66" s="75" t="s">
        <v>105</v>
      </c>
      <c r="E66" s="3"/>
      <c r="G66" s="9" t="s">
        <v>105</v>
      </c>
      <c r="H66">
        <v>6</v>
      </c>
    </row>
    <row r="67" spans="2:8" x14ac:dyDescent="0.35">
      <c r="B67" s="75" t="s">
        <v>111</v>
      </c>
      <c r="C67" s="75" t="s">
        <v>112</v>
      </c>
      <c r="D67" s="75" t="s">
        <v>113</v>
      </c>
      <c r="E67" s="3"/>
      <c r="G67" s="9" t="s">
        <v>108</v>
      </c>
      <c r="H67">
        <v>7</v>
      </c>
    </row>
    <row r="68" spans="2:8" x14ac:dyDescent="0.35">
      <c r="B68" s="75" t="s">
        <v>115</v>
      </c>
      <c r="C68" s="75" t="s">
        <v>116</v>
      </c>
      <c r="D68" s="75" t="s">
        <v>108</v>
      </c>
      <c r="E68" s="3"/>
      <c r="G68" s="9" t="s">
        <v>469</v>
      </c>
      <c r="H68">
        <v>3</v>
      </c>
    </row>
    <row r="69" spans="2:8" x14ac:dyDescent="0.35">
      <c r="B69" s="75" t="s">
        <v>117</v>
      </c>
      <c r="C69" s="75" t="s">
        <v>118</v>
      </c>
      <c r="D69" s="75" t="s">
        <v>93</v>
      </c>
      <c r="E69" s="3"/>
      <c r="G69" s="9" t="s">
        <v>114</v>
      </c>
      <c r="H69">
        <v>4</v>
      </c>
    </row>
    <row r="70" spans="2:8" x14ac:dyDescent="0.35">
      <c r="B70" s="75" t="s">
        <v>120</v>
      </c>
      <c r="C70" s="75" t="s">
        <v>121</v>
      </c>
      <c r="D70" s="75" t="s">
        <v>122</v>
      </c>
      <c r="E70" s="3"/>
      <c r="G70" s="9" t="s">
        <v>113</v>
      </c>
      <c r="H70">
        <v>4</v>
      </c>
    </row>
    <row r="71" spans="2:8" x14ac:dyDescent="0.35">
      <c r="B71" s="75" t="s">
        <v>503</v>
      </c>
      <c r="C71" s="75" t="s">
        <v>123</v>
      </c>
      <c r="D71" s="75" t="s">
        <v>93</v>
      </c>
      <c r="E71" s="40"/>
      <c r="G71" s="9" t="s">
        <v>119</v>
      </c>
      <c r="H71">
        <v>5</v>
      </c>
    </row>
    <row r="72" spans="2:8" x14ac:dyDescent="0.35">
      <c r="B72" s="75" t="s">
        <v>125</v>
      </c>
      <c r="C72" s="75" t="s">
        <v>126</v>
      </c>
      <c r="D72" s="75" t="s">
        <v>102</v>
      </c>
      <c r="E72" s="40"/>
      <c r="G72" s="9" t="s">
        <v>101</v>
      </c>
      <c r="H72">
        <v>3</v>
      </c>
    </row>
    <row r="73" spans="2:8" x14ac:dyDescent="0.35">
      <c r="B73" s="75" t="s">
        <v>128</v>
      </c>
      <c r="C73" s="75" t="s">
        <v>129</v>
      </c>
      <c r="D73" s="75" t="s">
        <v>462</v>
      </c>
      <c r="E73" s="40"/>
      <c r="G73" s="9" t="s">
        <v>124</v>
      </c>
      <c r="H73">
        <v>8</v>
      </c>
    </row>
    <row r="74" spans="2:8" x14ac:dyDescent="0.35">
      <c r="B74" s="75" t="s">
        <v>130</v>
      </c>
      <c r="C74" s="75" t="s">
        <v>131</v>
      </c>
      <c r="D74" s="75" t="s">
        <v>104</v>
      </c>
      <c r="E74" s="3"/>
      <c r="G74" s="9" t="s">
        <v>127</v>
      </c>
      <c r="H74">
        <v>4</v>
      </c>
    </row>
    <row r="75" spans="2:8" x14ac:dyDescent="0.35">
      <c r="B75" s="75" t="s">
        <v>468</v>
      </c>
      <c r="C75" s="75" t="s">
        <v>276</v>
      </c>
      <c r="D75" s="75" t="s">
        <v>108</v>
      </c>
      <c r="E75" s="40"/>
      <c r="G75" s="9" t="s">
        <v>462</v>
      </c>
      <c r="H75">
        <v>9</v>
      </c>
    </row>
    <row r="76" spans="2:8" x14ac:dyDescent="0.35">
      <c r="B76" s="75" t="s">
        <v>473</v>
      </c>
      <c r="C76" s="75" t="s">
        <v>277</v>
      </c>
      <c r="D76" s="75" t="s">
        <v>94</v>
      </c>
      <c r="E76" s="40"/>
      <c r="G76" s="9" t="s">
        <v>464</v>
      </c>
      <c r="H76">
        <v>6</v>
      </c>
    </row>
    <row r="77" spans="2:8" x14ac:dyDescent="0.35">
      <c r="B77" s="75" t="s">
        <v>481</v>
      </c>
      <c r="C77" s="75" t="s">
        <v>132</v>
      </c>
      <c r="D77" s="75" t="s">
        <v>94</v>
      </c>
      <c r="E77" s="3"/>
      <c r="G77" s="9" t="s">
        <v>133</v>
      </c>
      <c r="H77">
        <v>3</v>
      </c>
    </row>
    <row r="78" spans="2:8" x14ac:dyDescent="0.35">
      <c r="B78" s="75" t="s">
        <v>134</v>
      </c>
      <c r="C78" s="75" t="s">
        <v>135</v>
      </c>
      <c r="D78" s="75" t="s">
        <v>124</v>
      </c>
      <c r="E78" s="3"/>
      <c r="G78" s="9" t="s">
        <v>104</v>
      </c>
      <c r="H78">
        <v>5</v>
      </c>
    </row>
    <row r="79" spans="2:8" x14ac:dyDescent="0.35">
      <c r="B79" s="75" t="s">
        <v>136</v>
      </c>
      <c r="C79" s="75" t="s">
        <v>137</v>
      </c>
      <c r="D79" s="75" t="s">
        <v>462</v>
      </c>
      <c r="E79" s="3"/>
      <c r="G79" s="9" t="s">
        <v>97</v>
      </c>
      <c r="H79">
        <v>7</v>
      </c>
    </row>
    <row r="80" spans="2:8" x14ac:dyDescent="0.35">
      <c r="B80" s="75" t="s">
        <v>138</v>
      </c>
      <c r="C80" s="75" t="s">
        <v>139</v>
      </c>
      <c r="D80" s="75" t="s">
        <v>114</v>
      </c>
      <c r="E80" s="3"/>
      <c r="G80" s="9" t="s">
        <v>122</v>
      </c>
      <c r="H80">
        <v>4</v>
      </c>
    </row>
    <row r="81" spans="2:11" x14ac:dyDescent="0.35">
      <c r="B81" s="75" t="s">
        <v>140</v>
      </c>
      <c r="C81" s="75" t="s">
        <v>141</v>
      </c>
      <c r="D81" s="75" t="s">
        <v>104</v>
      </c>
      <c r="E81" s="3"/>
      <c r="G81" s="9" t="s">
        <v>142</v>
      </c>
      <c r="H81">
        <v>6</v>
      </c>
    </row>
    <row r="82" spans="2:11" x14ac:dyDescent="0.35">
      <c r="B82" s="75" t="s">
        <v>143</v>
      </c>
      <c r="C82" s="75" t="s">
        <v>144</v>
      </c>
      <c r="D82" s="75" t="s">
        <v>142</v>
      </c>
      <c r="E82" s="40"/>
      <c r="G82" s="9" t="s">
        <v>145</v>
      </c>
      <c r="H82">
        <v>14</v>
      </c>
    </row>
    <row r="83" spans="2:11" x14ac:dyDescent="0.35">
      <c r="B83" s="75" t="s">
        <v>487</v>
      </c>
      <c r="C83" s="75" t="s">
        <v>278</v>
      </c>
      <c r="D83" s="75" t="s">
        <v>145</v>
      </c>
      <c r="E83" s="40"/>
      <c r="G83" s="9" t="s">
        <v>93</v>
      </c>
      <c r="H83">
        <v>6</v>
      </c>
    </row>
    <row r="84" spans="2:11" x14ac:dyDescent="0.35">
      <c r="B84" s="75" t="s">
        <v>146</v>
      </c>
      <c r="C84" s="75" t="s">
        <v>147</v>
      </c>
      <c r="D84" s="75" t="s">
        <v>105</v>
      </c>
      <c r="E84" s="40"/>
      <c r="G84" s="9" t="s">
        <v>150</v>
      </c>
      <c r="H84">
        <v>129</v>
      </c>
    </row>
    <row r="85" spans="2:11" x14ac:dyDescent="0.35">
      <c r="B85" s="75" t="s">
        <v>148</v>
      </c>
      <c r="C85" s="75" t="s">
        <v>149</v>
      </c>
      <c r="D85" s="75" t="s">
        <v>94</v>
      </c>
      <c r="E85" s="40"/>
    </row>
    <row r="86" spans="2:11" x14ac:dyDescent="0.35">
      <c r="B86" s="75" t="s">
        <v>151</v>
      </c>
      <c r="C86" s="75" t="s">
        <v>152</v>
      </c>
      <c r="D86" s="75" t="s">
        <v>114</v>
      </c>
      <c r="E86" s="3"/>
    </row>
    <row r="87" spans="2:11" x14ac:dyDescent="0.35">
      <c r="B87" s="75" t="s">
        <v>153</v>
      </c>
      <c r="C87" s="75" t="s">
        <v>154</v>
      </c>
      <c r="D87" s="75" t="s">
        <v>113</v>
      </c>
      <c r="E87" s="3"/>
    </row>
    <row r="88" spans="2:11" x14ac:dyDescent="0.35">
      <c r="B88" s="75" t="s">
        <v>156</v>
      </c>
      <c r="C88" s="75" t="s">
        <v>157</v>
      </c>
      <c r="D88" s="75" t="s">
        <v>102</v>
      </c>
      <c r="E88" s="40"/>
      <c r="G88" s="9" t="s">
        <v>693</v>
      </c>
    </row>
    <row r="89" spans="2:11" x14ac:dyDescent="0.35">
      <c r="B89" s="75" t="s">
        <v>158</v>
      </c>
      <c r="C89" s="75" t="s">
        <v>159</v>
      </c>
      <c r="D89" s="75" t="s">
        <v>97</v>
      </c>
      <c r="E89" s="40"/>
    </row>
    <row r="90" spans="2:11" x14ac:dyDescent="0.35">
      <c r="B90" s="75" t="s">
        <v>498</v>
      </c>
      <c r="C90" s="75" t="s">
        <v>160</v>
      </c>
      <c r="D90" s="75" t="s">
        <v>462</v>
      </c>
      <c r="E90" s="40"/>
      <c r="G90" s="13" t="s">
        <v>688</v>
      </c>
      <c r="H90" s="13" t="s">
        <v>687</v>
      </c>
      <c r="I90" s="13" t="s">
        <v>689</v>
      </c>
      <c r="J90" s="13" t="s">
        <v>690</v>
      </c>
      <c r="K90" s="13" t="s">
        <v>695</v>
      </c>
    </row>
    <row r="91" spans="2:11" x14ac:dyDescent="0.35">
      <c r="B91" s="75" t="s">
        <v>161</v>
      </c>
      <c r="C91" s="75" t="s">
        <v>162</v>
      </c>
      <c r="D91" s="75" t="s">
        <v>97</v>
      </c>
      <c r="E91" s="3"/>
      <c r="G91" s="11" t="s">
        <v>488</v>
      </c>
      <c r="H91" s="11" t="s">
        <v>509</v>
      </c>
      <c r="I91" s="11" t="s">
        <v>691</v>
      </c>
      <c r="J91" s="11" t="s">
        <v>691</v>
      </c>
      <c r="K91" s="11" t="s">
        <v>696</v>
      </c>
    </row>
    <row r="92" spans="2:11" x14ac:dyDescent="0.35">
      <c r="B92" s="75" t="s">
        <v>163</v>
      </c>
      <c r="C92" s="75" t="s">
        <v>164</v>
      </c>
      <c r="D92" s="75" t="s">
        <v>124</v>
      </c>
      <c r="E92" s="3"/>
      <c r="G92" s="11" t="s">
        <v>655</v>
      </c>
      <c r="H92" s="11" t="s">
        <v>656</v>
      </c>
      <c r="I92" s="11" t="s">
        <v>691</v>
      </c>
      <c r="J92" s="11" t="s">
        <v>692</v>
      </c>
      <c r="K92" s="11" t="s">
        <v>694</v>
      </c>
    </row>
    <row r="93" spans="2:11" x14ac:dyDescent="0.35">
      <c r="B93" s="75" t="s">
        <v>165</v>
      </c>
      <c r="C93" s="75" t="s">
        <v>166</v>
      </c>
      <c r="D93" s="75" t="s">
        <v>145</v>
      </c>
      <c r="E93" s="40"/>
      <c r="G93" s="11" t="s">
        <v>496</v>
      </c>
      <c r="H93" s="11" t="s">
        <v>512</v>
      </c>
      <c r="I93" s="11" t="s">
        <v>692</v>
      </c>
      <c r="J93" s="11" t="s">
        <v>691</v>
      </c>
      <c r="K93" s="11" t="s">
        <v>697</v>
      </c>
    </row>
    <row r="94" spans="2:11" x14ac:dyDescent="0.35">
      <c r="B94" s="75" t="s">
        <v>167</v>
      </c>
      <c r="C94" s="75" t="s">
        <v>168</v>
      </c>
      <c r="D94" s="75" t="s">
        <v>464</v>
      </c>
      <c r="E94" s="40"/>
    </row>
    <row r="95" spans="2:11" x14ac:dyDescent="0.35">
      <c r="B95" s="75" t="s">
        <v>169</v>
      </c>
      <c r="C95" s="75" t="s">
        <v>170</v>
      </c>
      <c r="D95" s="75" t="s">
        <v>122</v>
      </c>
      <c r="E95" s="3"/>
    </row>
    <row r="96" spans="2:11" x14ac:dyDescent="0.35">
      <c r="B96" s="75" t="s">
        <v>171</v>
      </c>
      <c r="C96" s="75" t="s">
        <v>172</v>
      </c>
      <c r="D96" s="75" t="s">
        <v>133</v>
      </c>
      <c r="E96" s="3"/>
    </row>
    <row r="97" spans="2:5" x14ac:dyDescent="0.35">
      <c r="B97" s="75" t="s">
        <v>173</v>
      </c>
      <c r="C97" s="75" t="s">
        <v>174</v>
      </c>
      <c r="D97" s="75" t="s">
        <v>142</v>
      </c>
      <c r="E97" s="40"/>
    </row>
    <row r="98" spans="2:5" x14ac:dyDescent="0.35">
      <c r="B98" s="75" t="s">
        <v>175</v>
      </c>
      <c r="C98" s="75" t="s">
        <v>176</v>
      </c>
      <c r="D98" s="75" t="s">
        <v>93</v>
      </c>
      <c r="E98" s="3"/>
    </row>
    <row r="99" spans="2:5" x14ac:dyDescent="0.35">
      <c r="B99" s="75" t="s">
        <v>466</v>
      </c>
      <c r="C99" s="75" t="s">
        <v>279</v>
      </c>
      <c r="D99" s="75" t="s">
        <v>462</v>
      </c>
      <c r="E99" s="40"/>
    </row>
    <row r="100" spans="2:5" x14ac:dyDescent="0.35">
      <c r="B100" s="75" t="s">
        <v>492</v>
      </c>
      <c r="C100" s="75" t="s">
        <v>177</v>
      </c>
      <c r="D100" s="75" t="s">
        <v>101</v>
      </c>
      <c r="E100" s="40"/>
    </row>
    <row r="101" spans="2:5" x14ac:dyDescent="0.35">
      <c r="B101" s="75" t="s">
        <v>178</v>
      </c>
      <c r="C101" s="75" t="s">
        <v>179</v>
      </c>
      <c r="D101" s="75" t="s">
        <v>469</v>
      </c>
      <c r="E101" s="3"/>
    </row>
    <row r="102" spans="2:5" x14ac:dyDescent="0.35">
      <c r="B102" s="75" t="s">
        <v>180</v>
      </c>
      <c r="C102" s="75" t="s">
        <v>181</v>
      </c>
      <c r="D102" s="75" t="s">
        <v>462</v>
      </c>
      <c r="E102" s="3"/>
    </row>
    <row r="103" spans="2:5" x14ac:dyDescent="0.35">
      <c r="B103" s="75" t="s">
        <v>461</v>
      </c>
      <c r="C103" s="75" t="s">
        <v>182</v>
      </c>
      <c r="D103" s="75" t="s">
        <v>142</v>
      </c>
      <c r="E103" s="3"/>
    </row>
    <row r="104" spans="2:5" x14ac:dyDescent="0.35">
      <c r="B104" s="75" t="s">
        <v>183</v>
      </c>
      <c r="C104" s="75" t="s">
        <v>184</v>
      </c>
      <c r="D104" s="75" t="s">
        <v>102</v>
      </c>
      <c r="E104" s="40"/>
    </row>
    <row r="105" spans="2:5" x14ac:dyDescent="0.35">
      <c r="B105" s="75" t="s">
        <v>185</v>
      </c>
      <c r="C105" s="75" t="s">
        <v>186</v>
      </c>
      <c r="D105" s="75" t="s">
        <v>98</v>
      </c>
      <c r="E105" s="40"/>
    </row>
    <row r="106" spans="2:5" x14ac:dyDescent="0.35">
      <c r="B106" s="75" t="s">
        <v>187</v>
      </c>
      <c r="C106" s="75" t="s">
        <v>188</v>
      </c>
      <c r="D106" s="75" t="s">
        <v>133</v>
      </c>
      <c r="E106" s="40"/>
    </row>
    <row r="107" spans="2:5" x14ac:dyDescent="0.35">
      <c r="B107" s="75" t="s">
        <v>189</v>
      </c>
      <c r="C107" s="75" t="s">
        <v>190</v>
      </c>
      <c r="D107" s="75" t="s">
        <v>462</v>
      </c>
      <c r="E107" s="3"/>
    </row>
    <row r="108" spans="2:5" x14ac:dyDescent="0.35">
      <c r="B108" s="75" t="s">
        <v>191</v>
      </c>
      <c r="C108" s="75" t="s">
        <v>192</v>
      </c>
      <c r="D108" s="75" t="s">
        <v>113</v>
      </c>
      <c r="E108" s="3"/>
    </row>
    <row r="109" spans="2:5" x14ac:dyDescent="0.35">
      <c r="B109" s="75" t="s">
        <v>193</v>
      </c>
      <c r="C109" s="75" t="s">
        <v>194</v>
      </c>
      <c r="D109" s="75" t="s">
        <v>93</v>
      </c>
      <c r="E109" s="40"/>
    </row>
    <row r="110" spans="2:5" x14ac:dyDescent="0.35">
      <c r="B110" s="75" t="s">
        <v>195</v>
      </c>
      <c r="C110" s="75" t="s">
        <v>196</v>
      </c>
      <c r="D110" s="75" t="s">
        <v>133</v>
      </c>
      <c r="E110" s="40"/>
    </row>
    <row r="111" spans="2:5" x14ac:dyDescent="0.35">
      <c r="B111" s="75" t="s">
        <v>197</v>
      </c>
      <c r="C111" s="75" t="s">
        <v>198</v>
      </c>
      <c r="D111" s="75" t="s">
        <v>94</v>
      </c>
      <c r="E111" s="40"/>
    </row>
    <row r="112" spans="2:5" x14ac:dyDescent="0.35">
      <c r="B112" s="75" t="s">
        <v>199</v>
      </c>
      <c r="C112" s="75" t="s">
        <v>200</v>
      </c>
      <c r="D112" s="75" t="s">
        <v>94</v>
      </c>
      <c r="E112" s="3"/>
    </row>
    <row r="113" spans="2:5" x14ac:dyDescent="0.35">
      <c r="B113" s="75" t="s">
        <v>463</v>
      </c>
      <c r="C113" s="75" t="s">
        <v>201</v>
      </c>
      <c r="D113" s="75" t="s">
        <v>462</v>
      </c>
      <c r="E113" s="3"/>
    </row>
    <row r="114" spans="2:5" x14ac:dyDescent="0.35">
      <c r="B114" s="75" t="s">
        <v>202</v>
      </c>
      <c r="C114" s="75" t="s">
        <v>203</v>
      </c>
      <c r="D114" s="75" t="s">
        <v>114</v>
      </c>
      <c r="E114" s="40"/>
    </row>
    <row r="115" spans="2:5" x14ac:dyDescent="0.35">
      <c r="B115" s="75" t="s">
        <v>204</v>
      </c>
      <c r="C115" s="75" t="s">
        <v>205</v>
      </c>
      <c r="D115" s="75" t="s">
        <v>108</v>
      </c>
      <c r="E115" s="40"/>
    </row>
    <row r="116" spans="2:5" x14ac:dyDescent="0.35">
      <c r="B116" s="75" t="s">
        <v>206</v>
      </c>
      <c r="C116" s="75" t="s">
        <v>207</v>
      </c>
      <c r="D116" s="75" t="s">
        <v>114</v>
      </c>
      <c r="E116" s="3"/>
    </row>
    <row r="117" spans="2:5" x14ac:dyDescent="0.35">
      <c r="B117" s="75" t="s">
        <v>467</v>
      </c>
      <c r="C117" s="75" t="s">
        <v>269</v>
      </c>
      <c r="D117" s="75" t="s">
        <v>94</v>
      </c>
      <c r="E117" s="3"/>
    </row>
    <row r="118" spans="2:5" x14ac:dyDescent="0.35">
      <c r="B118" s="75" t="s">
        <v>208</v>
      </c>
      <c r="C118" s="75" t="s">
        <v>209</v>
      </c>
      <c r="D118" s="75" t="s">
        <v>105</v>
      </c>
      <c r="E118" s="40"/>
    </row>
    <row r="119" spans="2:5" x14ac:dyDescent="0.35">
      <c r="B119" s="75" t="s">
        <v>210</v>
      </c>
      <c r="C119" s="75" t="s">
        <v>211</v>
      </c>
      <c r="D119" s="75" t="s">
        <v>94</v>
      </c>
      <c r="E119" s="3"/>
    </row>
    <row r="120" spans="2:5" x14ac:dyDescent="0.35">
      <c r="B120" s="75" t="s">
        <v>504</v>
      </c>
      <c r="C120" s="75" t="s">
        <v>212</v>
      </c>
      <c r="D120" s="75" t="s">
        <v>93</v>
      </c>
      <c r="E120" s="3"/>
    </row>
    <row r="121" spans="2:5" x14ac:dyDescent="0.35">
      <c r="B121" s="75" t="s">
        <v>213</v>
      </c>
      <c r="C121" s="75" t="s">
        <v>214</v>
      </c>
      <c r="D121" s="75" t="s">
        <v>105</v>
      </c>
      <c r="E121" s="3"/>
    </row>
    <row r="122" spans="2:5" x14ac:dyDescent="0.35">
      <c r="B122" s="75" t="s">
        <v>494</v>
      </c>
      <c r="C122" s="75" t="s">
        <v>280</v>
      </c>
      <c r="D122" s="75" t="s">
        <v>124</v>
      </c>
      <c r="E122" s="3"/>
    </row>
    <row r="123" spans="2:5" x14ac:dyDescent="0.35">
      <c r="B123" s="75" t="s">
        <v>215</v>
      </c>
      <c r="C123" s="75" t="s">
        <v>216</v>
      </c>
      <c r="D123" s="75" t="s">
        <v>102</v>
      </c>
      <c r="E123" s="3"/>
    </row>
    <row r="124" spans="2:5" x14ac:dyDescent="0.35">
      <c r="B124" s="75" t="s">
        <v>217</v>
      </c>
      <c r="C124" s="75" t="s">
        <v>218</v>
      </c>
      <c r="D124" s="75" t="s">
        <v>464</v>
      </c>
      <c r="E124" s="3"/>
    </row>
    <row r="125" spans="2:5" x14ac:dyDescent="0.35">
      <c r="B125" s="75" t="s">
        <v>219</v>
      </c>
      <c r="C125" s="75" t="s">
        <v>220</v>
      </c>
      <c r="D125" s="75" t="s">
        <v>124</v>
      </c>
      <c r="E125" s="3"/>
    </row>
    <row r="126" spans="2:5" x14ac:dyDescent="0.35">
      <c r="B126" s="75" t="s">
        <v>221</v>
      </c>
      <c r="C126" s="75" t="s">
        <v>222</v>
      </c>
      <c r="D126" s="75" t="s">
        <v>119</v>
      </c>
      <c r="E126" s="3"/>
    </row>
    <row r="127" spans="2:5" x14ac:dyDescent="0.35">
      <c r="B127" s="75" t="s">
        <v>499</v>
      </c>
      <c r="C127" s="75" t="s">
        <v>223</v>
      </c>
      <c r="D127" s="75" t="s">
        <v>124</v>
      </c>
      <c r="E127" s="40"/>
    </row>
    <row r="128" spans="2:5" x14ac:dyDescent="0.35">
      <c r="B128" s="75" t="s">
        <v>224</v>
      </c>
      <c r="C128" s="75" t="s">
        <v>225</v>
      </c>
      <c r="D128" s="75" t="s">
        <v>102</v>
      </c>
      <c r="E128" s="3"/>
    </row>
    <row r="129" spans="2:5" x14ac:dyDescent="0.35">
      <c r="B129" s="75" t="s">
        <v>226</v>
      </c>
      <c r="C129" s="75" t="s">
        <v>227</v>
      </c>
      <c r="D129" s="75" t="s">
        <v>98</v>
      </c>
      <c r="E129" s="3"/>
    </row>
    <row r="130" spans="2:5" x14ac:dyDescent="0.35">
      <c r="B130" s="75" t="s">
        <v>486</v>
      </c>
      <c r="C130" s="75" t="s">
        <v>249</v>
      </c>
      <c r="D130" s="75" t="s">
        <v>108</v>
      </c>
      <c r="E130" s="40"/>
    </row>
    <row r="131" spans="2:5" x14ac:dyDescent="0.35">
      <c r="B131" s="75" t="s">
        <v>228</v>
      </c>
      <c r="C131" s="75" t="s">
        <v>229</v>
      </c>
      <c r="D131" s="75" t="s">
        <v>469</v>
      </c>
      <c r="E131" s="3"/>
    </row>
    <row r="132" spans="2:5" x14ac:dyDescent="0.35">
      <c r="B132" s="75" t="s">
        <v>230</v>
      </c>
      <c r="C132" s="75" t="s">
        <v>231</v>
      </c>
      <c r="D132" s="75" t="s">
        <v>124</v>
      </c>
      <c r="E132" s="3"/>
    </row>
    <row r="133" spans="2:5" x14ac:dyDescent="0.35">
      <c r="B133" s="75" t="s">
        <v>232</v>
      </c>
      <c r="C133" s="75" t="s">
        <v>233</v>
      </c>
      <c r="D133" s="75" t="s">
        <v>98</v>
      </c>
      <c r="E133" s="3"/>
    </row>
    <row r="134" spans="2:5" x14ac:dyDescent="0.35">
      <c r="B134" s="75" t="s">
        <v>234</v>
      </c>
      <c r="C134" s="75" t="s">
        <v>235</v>
      </c>
      <c r="D134" s="75" t="s">
        <v>122</v>
      </c>
      <c r="E134" s="3"/>
    </row>
    <row r="135" spans="2:5" x14ac:dyDescent="0.35">
      <c r="B135" s="75" t="s">
        <v>478</v>
      </c>
      <c r="C135" s="75" t="s">
        <v>238</v>
      </c>
      <c r="D135" s="75" t="s">
        <v>142</v>
      </c>
      <c r="E135" s="3"/>
    </row>
    <row r="136" spans="2:5" x14ac:dyDescent="0.35">
      <c r="B136" s="75" t="s">
        <v>491</v>
      </c>
      <c r="C136" s="75" t="s">
        <v>281</v>
      </c>
      <c r="D136" s="75" t="s">
        <v>105</v>
      </c>
      <c r="E136" s="3"/>
    </row>
    <row r="137" spans="2:5" x14ac:dyDescent="0.35">
      <c r="B137" s="75" t="s">
        <v>471</v>
      </c>
      <c r="C137" s="75" t="s">
        <v>282</v>
      </c>
      <c r="D137" s="75" t="s">
        <v>102</v>
      </c>
      <c r="E137" s="3"/>
    </row>
    <row r="138" spans="2:5" x14ac:dyDescent="0.35">
      <c r="B138" s="75" t="s">
        <v>489</v>
      </c>
      <c r="C138" s="75" t="s">
        <v>510</v>
      </c>
      <c r="D138" s="75" t="s">
        <v>97</v>
      </c>
      <c r="E138" s="40"/>
    </row>
    <row r="139" spans="2:5" x14ac:dyDescent="0.35">
      <c r="B139" s="75" t="s">
        <v>484</v>
      </c>
      <c r="C139" s="75" t="s">
        <v>508</v>
      </c>
      <c r="D139" s="75" t="s">
        <v>145</v>
      </c>
      <c r="E139" s="3"/>
    </row>
    <row r="140" spans="2:5" x14ac:dyDescent="0.35">
      <c r="B140" s="75" t="s">
        <v>475</v>
      </c>
      <c r="C140" s="75" t="s">
        <v>283</v>
      </c>
      <c r="D140" s="75" t="s">
        <v>104</v>
      </c>
      <c r="E140" s="40"/>
    </row>
    <row r="141" spans="2:5" x14ac:dyDescent="0.35">
      <c r="B141" s="75" t="s">
        <v>239</v>
      </c>
      <c r="C141" s="75" t="s">
        <v>240</v>
      </c>
      <c r="D141" s="75" t="s">
        <v>122</v>
      </c>
      <c r="E141" s="40"/>
    </row>
    <row r="142" spans="2:5" x14ac:dyDescent="0.35">
      <c r="B142" s="75" t="s">
        <v>241</v>
      </c>
      <c r="C142" s="75" t="s">
        <v>242</v>
      </c>
      <c r="D142" s="75" t="s">
        <v>127</v>
      </c>
      <c r="E142" s="40"/>
    </row>
    <row r="143" spans="2:5" x14ac:dyDescent="0.35">
      <c r="B143" s="75" t="s">
        <v>477</v>
      </c>
      <c r="C143" s="75" t="s">
        <v>243</v>
      </c>
      <c r="D143" s="75" t="s">
        <v>127</v>
      </c>
      <c r="E143" s="40"/>
    </row>
    <row r="144" spans="2:5" x14ac:dyDescent="0.35">
      <c r="B144" s="75" t="s">
        <v>244</v>
      </c>
      <c r="C144" s="75" t="s">
        <v>245</v>
      </c>
      <c r="D144" s="75" t="s">
        <v>119</v>
      </c>
      <c r="E144" s="3"/>
    </row>
    <row r="145" spans="2:5" x14ac:dyDescent="0.35">
      <c r="B145" s="75" t="s">
        <v>490</v>
      </c>
      <c r="C145" s="75" t="s">
        <v>284</v>
      </c>
      <c r="D145" s="75" t="s">
        <v>462</v>
      </c>
      <c r="E145" s="3"/>
    </row>
    <row r="146" spans="2:5" x14ac:dyDescent="0.35">
      <c r="B146" s="75" t="s">
        <v>465</v>
      </c>
      <c r="C146" s="75" t="s">
        <v>506</v>
      </c>
      <c r="D146" s="75" t="s">
        <v>119</v>
      </c>
      <c r="E146" s="40"/>
    </row>
    <row r="147" spans="2:5" x14ac:dyDescent="0.35">
      <c r="B147" s="75" t="s">
        <v>493</v>
      </c>
      <c r="C147" s="75" t="s">
        <v>511</v>
      </c>
      <c r="D147" s="75" t="s">
        <v>145</v>
      </c>
      <c r="E147" s="40"/>
    </row>
    <row r="148" spans="2:5" x14ac:dyDescent="0.35">
      <c r="B148" s="75" t="s">
        <v>476</v>
      </c>
      <c r="C148" s="75" t="s">
        <v>236</v>
      </c>
      <c r="D148" s="75" t="s">
        <v>102</v>
      </c>
      <c r="E148" s="40"/>
    </row>
    <row r="149" spans="2:5" x14ac:dyDescent="0.35">
      <c r="B149" s="75" t="s">
        <v>246</v>
      </c>
      <c r="C149" s="75" t="s">
        <v>247</v>
      </c>
      <c r="D149" s="75" t="s">
        <v>97</v>
      </c>
      <c r="E149" s="40"/>
    </row>
    <row r="150" spans="2:5" x14ac:dyDescent="0.35">
      <c r="B150" s="75" t="s">
        <v>472</v>
      </c>
      <c r="C150" s="75" t="s">
        <v>248</v>
      </c>
      <c r="D150" s="75" t="s">
        <v>464</v>
      </c>
      <c r="E150" s="40"/>
    </row>
    <row r="151" spans="2:5" x14ac:dyDescent="0.35">
      <c r="B151" s="75" t="s">
        <v>485</v>
      </c>
      <c r="C151" s="75" t="s">
        <v>285</v>
      </c>
      <c r="D151" s="75" t="s">
        <v>145</v>
      </c>
      <c r="E151" s="40"/>
    </row>
    <row r="152" spans="2:5" x14ac:dyDescent="0.35">
      <c r="B152" s="75" t="s">
        <v>250</v>
      </c>
      <c r="C152" s="75" t="s">
        <v>251</v>
      </c>
      <c r="D152" s="75" t="s">
        <v>464</v>
      </c>
      <c r="E152" s="40"/>
    </row>
    <row r="153" spans="2:5" x14ac:dyDescent="0.35">
      <c r="B153" s="75" t="s">
        <v>252</v>
      </c>
      <c r="C153" s="75" t="s">
        <v>253</v>
      </c>
      <c r="D153" s="75" t="s">
        <v>145</v>
      </c>
      <c r="E153" s="40"/>
    </row>
    <row r="154" spans="2:5" x14ac:dyDescent="0.35">
      <c r="B154" s="75" t="s">
        <v>254</v>
      </c>
      <c r="C154" s="75" t="s">
        <v>255</v>
      </c>
      <c r="D154" s="75" t="s">
        <v>104</v>
      </c>
      <c r="E154" s="40"/>
    </row>
    <row r="155" spans="2:5" x14ac:dyDescent="0.35">
      <c r="B155" s="75" t="s">
        <v>256</v>
      </c>
      <c r="C155" s="75" t="s">
        <v>257</v>
      </c>
      <c r="D155" s="75" t="s">
        <v>98</v>
      </c>
      <c r="E155" s="3"/>
    </row>
    <row r="156" spans="2:5" x14ac:dyDescent="0.35">
      <c r="B156" s="75" t="s">
        <v>258</v>
      </c>
      <c r="C156" s="75" t="s">
        <v>259</v>
      </c>
      <c r="D156" s="75" t="s">
        <v>145</v>
      </c>
      <c r="E156" s="3"/>
    </row>
    <row r="157" spans="2:5" x14ac:dyDescent="0.35">
      <c r="B157" s="75" t="s">
        <v>260</v>
      </c>
      <c r="C157" s="75" t="s">
        <v>261</v>
      </c>
      <c r="D157" s="75" t="s">
        <v>464</v>
      </c>
      <c r="E157" s="3"/>
    </row>
    <row r="158" spans="2:5" x14ac:dyDescent="0.35">
      <c r="B158" s="75" t="s">
        <v>262</v>
      </c>
      <c r="C158" s="75" t="s">
        <v>263</v>
      </c>
      <c r="D158" s="75" t="s">
        <v>124</v>
      </c>
      <c r="E158" s="3"/>
    </row>
    <row r="159" spans="2:5" x14ac:dyDescent="0.35">
      <c r="B159" s="75" t="s">
        <v>264</v>
      </c>
      <c r="C159" s="75" t="s">
        <v>265</v>
      </c>
      <c r="D159" s="75" t="s">
        <v>124</v>
      </c>
      <c r="E159" s="3"/>
    </row>
    <row r="160" spans="2:5" x14ac:dyDescent="0.35">
      <c r="B160" s="75" t="s">
        <v>479</v>
      </c>
      <c r="C160" s="75" t="s">
        <v>266</v>
      </c>
      <c r="D160" s="75" t="s">
        <v>145</v>
      </c>
      <c r="E160" s="3"/>
    </row>
    <row r="161" spans="2:5" x14ac:dyDescent="0.35">
      <c r="B161" s="75" t="s">
        <v>267</v>
      </c>
      <c r="C161" s="75" t="s">
        <v>268</v>
      </c>
      <c r="D161" s="75" t="s">
        <v>462</v>
      </c>
      <c r="E161" s="40"/>
    </row>
    <row r="162" spans="2:5" x14ac:dyDescent="0.35">
      <c r="B162" s="75" t="s">
        <v>270</v>
      </c>
      <c r="C162" s="75" t="s">
        <v>271</v>
      </c>
      <c r="D162" s="75" t="s">
        <v>108</v>
      </c>
      <c r="E162" s="3"/>
    </row>
    <row r="163" spans="2:5" x14ac:dyDescent="0.35">
      <c r="B163" s="75" t="s">
        <v>272</v>
      </c>
      <c r="C163" s="75" t="s">
        <v>273</v>
      </c>
      <c r="D163" s="75" t="s">
        <v>97</v>
      </c>
      <c r="E163" s="3"/>
    </row>
    <row r="164" spans="2:5" x14ac:dyDescent="0.35">
      <c r="B164" s="75" t="s">
        <v>274</v>
      </c>
      <c r="C164" s="75" t="s">
        <v>275</v>
      </c>
      <c r="D164" s="75" t="s">
        <v>108</v>
      </c>
      <c r="E164" s="40"/>
    </row>
    <row r="165" spans="2:5" x14ac:dyDescent="0.35">
      <c r="B165" s="75" t="s">
        <v>474</v>
      </c>
      <c r="C165" s="75" t="s">
        <v>507</v>
      </c>
      <c r="D165" s="75" t="s">
        <v>94</v>
      </c>
      <c r="E165" s="3"/>
    </row>
    <row r="166" spans="2:5" x14ac:dyDescent="0.35">
      <c r="B166" s="75" t="s">
        <v>287</v>
      </c>
      <c r="C166" s="75" t="s">
        <v>288</v>
      </c>
      <c r="D166" s="75" t="s">
        <v>127</v>
      </c>
      <c r="E166" s="40"/>
    </row>
    <row r="167" spans="2:5" x14ac:dyDescent="0.35">
      <c r="B167" s="75" t="s">
        <v>289</v>
      </c>
      <c r="C167" s="75" t="s">
        <v>290</v>
      </c>
      <c r="D167" s="75" t="s">
        <v>98</v>
      </c>
      <c r="E167" s="40"/>
    </row>
    <row r="168" spans="2:5" x14ac:dyDescent="0.35">
      <c r="B168" s="75" t="s">
        <v>291</v>
      </c>
      <c r="C168" s="75" t="s">
        <v>292</v>
      </c>
      <c r="D168" s="75" t="s">
        <v>119</v>
      </c>
      <c r="E168" s="40"/>
    </row>
    <row r="169" spans="2:5" x14ac:dyDescent="0.35">
      <c r="B169" s="75" t="s">
        <v>293</v>
      </c>
      <c r="C169" s="75" t="s">
        <v>294</v>
      </c>
      <c r="D169" s="75" t="s">
        <v>142</v>
      </c>
      <c r="E169" s="3"/>
    </row>
    <row r="170" spans="2:5" x14ac:dyDescent="0.35">
      <c r="B170" s="75" t="s">
        <v>295</v>
      </c>
      <c r="C170" s="75" t="s">
        <v>296</v>
      </c>
      <c r="D170" s="75" t="s">
        <v>145</v>
      </c>
      <c r="E170" s="3"/>
    </row>
    <row r="171" spans="2:5" x14ac:dyDescent="0.35">
      <c r="B171" s="75" t="s">
        <v>297</v>
      </c>
      <c r="C171" s="75" t="s">
        <v>298</v>
      </c>
      <c r="D171" s="75" t="s">
        <v>464</v>
      </c>
      <c r="E171" s="3"/>
    </row>
    <row r="172" spans="2:5" x14ac:dyDescent="0.35">
      <c r="B172" s="75" t="s">
        <v>299</v>
      </c>
      <c r="C172" s="75" t="s">
        <v>300</v>
      </c>
      <c r="D172" s="75" t="s">
        <v>145</v>
      </c>
      <c r="E172" s="3"/>
    </row>
    <row r="173" spans="2:5" x14ac:dyDescent="0.35">
      <c r="B173" s="75" t="s">
        <v>301</v>
      </c>
      <c r="C173" s="75" t="s">
        <v>302</v>
      </c>
      <c r="D173" s="75" t="s">
        <v>142</v>
      </c>
      <c r="E173" s="40"/>
    </row>
    <row r="174" spans="2:5" x14ac:dyDescent="0.35">
      <c r="B174" s="75" t="s">
        <v>495</v>
      </c>
      <c r="C174" s="75" t="s">
        <v>303</v>
      </c>
      <c r="D174" s="75" t="s">
        <v>98</v>
      </c>
      <c r="E174" s="40"/>
    </row>
    <row r="175" spans="2:5" x14ac:dyDescent="0.35">
      <c r="B175" s="75" t="s">
        <v>500</v>
      </c>
      <c r="C175" s="75" t="s">
        <v>304</v>
      </c>
      <c r="D175" s="75" t="s">
        <v>98</v>
      </c>
      <c r="E175" s="3"/>
    </row>
    <row r="176" spans="2:5" x14ac:dyDescent="0.35">
      <c r="B176" s="75" t="s">
        <v>497</v>
      </c>
      <c r="C176" s="75" t="s">
        <v>305</v>
      </c>
      <c r="D176" s="75" t="s">
        <v>113</v>
      </c>
      <c r="E176" s="40"/>
    </row>
    <row r="177" spans="2:5" x14ac:dyDescent="0.35">
      <c r="B177" s="75" t="s">
        <v>480</v>
      </c>
      <c r="C177" s="75" t="s">
        <v>306</v>
      </c>
      <c r="D177" s="75" t="s">
        <v>145</v>
      </c>
      <c r="E177" s="40"/>
    </row>
    <row r="178" spans="2:5" x14ac:dyDescent="0.35">
      <c r="B178" s="75" t="s">
        <v>482</v>
      </c>
      <c r="C178" s="75" t="s">
        <v>237</v>
      </c>
      <c r="D178" s="75" t="s">
        <v>127</v>
      </c>
      <c r="E178" s="40"/>
    </row>
    <row r="179" spans="2:5" x14ac:dyDescent="0.35">
      <c r="B179" s="75" t="s">
        <v>307</v>
      </c>
      <c r="C179" s="75" t="s">
        <v>308</v>
      </c>
      <c r="D179" s="75" t="s">
        <v>97</v>
      </c>
      <c r="E179" s="40"/>
    </row>
    <row r="180" spans="2:5" x14ac:dyDescent="0.35">
      <c r="B180" s="75" t="s">
        <v>309</v>
      </c>
      <c r="C180" s="75" t="s">
        <v>310</v>
      </c>
      <c r="D180" s="75" t="s">
        <v>145</v>
      </c>
      <c r="E180" s="3"/>
    </row>
    <row r="181" spans="2:5" x14ac:dyDescent="0.35">
      <c r="B181" s="75" t="s">
        <v>502</v>
      </c>
      <c r="C181" s="75" t="s">
        <v>311</v>
      </c>
      <c r="D181" s="75" t="s">
        <v>94</v>
      </c>
      <c r="E181" s="3"/>
    </row>
    <row r="182" spans="2:5" x14ac:dyDescent="0.35">
      <c r="B182" s="75" t="s">
        <v>501</v>
      </c>
      <c r="C182" s="75" t="s">
        <v>312</v>
      </c>
      <c r="D182" s="75" t="s">
        <v>105</v>
      </c>
      <c r="E182" s="3"/>
    </row>
    <row r="183" spans="2:5" x14ac:dyDescent="0.35">
      <c r="B183" s="75" t="s">
        <v>313</v>
      </c>
      <c r="C183" s="75" t="s">
        <v>314</v>
      </c>
      <c r="D183" s="75" t="s">
        <v>102</v>
      </c>
      <c r="E183" s="3"/>
    </row>
    <row r="184" spans="2:5" x14ac:dyDescent="0.35">
      <c r="B184" s="75" t="s">
        <v>483</v>
      </c>
      <c r="C184" s="75" t="s">
        <v>286</v>
      </c>
      <c r="D184" s="75" t="s">
        <v>119</v>
      </c>
      <c r="E184" s="40"/>
    </row>
    <row r="185" spans="2:5" x14ac:dyDescent="0.35">
      <c r="B185" s="75" t="s">
        <v>315</v>
      </c>
      <c r="C185" s="75" t="s">
        <v>316</v>
      </c>
      <c r="D185" s="75" t="s">
        <v>94</v>
      </c>
      <c r="E185" s="40"/>
    </row>
    <row r="186" spans="2:5" x14ac:dyDescent="0.35">
      <c r="B186" s="75" t="s">
        <v>317</v>
      </c>
      <c r="C186" s="75" t="s">
        <v>318</v>
      </c>
      <c r="D186" s="75" t="s">
        <v>145</v>
      </c>
      <c r="E186" s="40"/>
    </row>
    <row r="187" spans="2:5" x14ac:dyDescent="0.35">
      <c r="B187" s="75" t="s">
        <v>319</v>
      </c>
      <c r="C187" s="75" t="s">
        <v>320</v>
      </c>
      <c r="D187" s="75" t="s">
        <v>108</v>
      </c>
      <c r="E187" s="3"/>
    </row>
    <row r="188" spans="2:5" x14ac:dyDescent="0.35">
      <c r="B188" s="75" t="s">
        <v>321</v>
      </c>
      <c r="C188" s="75" t="s">
        <v>322</v>
      </c>
      <c r="D188" s="75" t="s">
        <v>145</v>
      </c>
      <c r="E188" s="3"/>
    </row>
    <row r="189" spans="2:5" x14ac:dyDescent="0.35">
      <c r="B189" s="75" t="s">
        <v>470</v>
      </c>
      <c r="C189" s="75" t="s">
        <v>323</v>
      </c>
      <c r="D189" s="75" t="s">
        <v>469</v>
      </c>
      <c r="E189" s="40"/>
    </row>
  </sheetData>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8016-4365-4A76-9E3E-CE3BED5C12F9}">
  <dimension ref="B7:E35"/>
  <sheetViews>
    <sheetView showGridLines="0" tabSelected="1" zoomScale="80" zoomScaleNormal="80" workbookViewId="0">
      <selection activeCell="E23" sqref="E23"/>
    </sheetView>
  </sheetViews>
  <sheetFormatPr defaultRowHeight="14.5" x14ac:dyDescent="0.35"/>
  <cols>
    <col min="1" max="1" width="3.26953125" customWidth="1"/>
    <col min="2" max="2" width="3.7265625" customWidth="1"/>
    <col min="3" max="3" width="55.7265625" customWidth="1"/>
    <col min="4" max="4" width="62" customWidth="1"/>
    <col min="5" max="5" width="81.7265625" bestFit="1" customWidth="1"/>
    <col min="6" max="6" width="34.453125" bestFit="1" customWidth="1"/>
  </cols>
  <sheetData>
    <row r="7" spans="2:5" ht="18.5" customHeight="1" x14ac:dyDescent="0.35">
      <c r="B7" s="1" t="s">
        <v>724</v>
      </c>
    </row>
    <row r="9" spans="2:5" x14ac:dyDescent="0.35">
      <c r="C9" t="s">
        <v>731</v>
      </c>
    </row>
    <row r="11" spans="2:5" x14ac:dyDescent="0.35">
      <c r="C11" s="129" t="s">
        <v>699</v>
      </c>
      <c r="D11" s="129" t="s">
        <v>683</v>
      </c>
      <c r="E11" s="129" t="s">
        <v>751</v>
      </c>
    </row>
    <row r="12" spans="2:5" x14ac:dyDescent="0.35">
      <c r="C12" s="130" t="s">
        <v>372</v>
      </c>
      <c r="D12" t="s">
        <v>700</v>
      </c>
      <c r="E12" t="s">
        <v>701</v>
      </c>
    </row>
    <row r="13" spans="2:5" x14ac:dyDescent="0.35">
      <c r="C13" s="130" t="s">
        <v>702</v>
      </c>
      <c r="D13" t="s">
        <v>703</v>
      </c>
      <c r="E13" t="s">
        <v>701</v>
      </c>
    </row>
    <row r="14" spans="2:5" x14ac:dyDescent="0.35">
      <c r="C14" t="s">
        <v>704</v>
      </c>
      <c r="D14" t="s">
        <v>705</v>
      </c>
      <c r="E14" t="s">
        <v>701</v>
      </c>
    </row>
    <row r="15" spans="2:5" x14ac:dyDescent="0.35">
      <c r="C15" s="130" t="s">
        <v>706</v>
      </c>
      <c r="D15" t="s">
        <v>707</v>
      </c>
      <c r="E15" t="s">
        <v>701</v>
      </c>
    </row>
    <row r="16" spans="2:5" ht="17.5" customHeight="1" x14ac:dyDescent="0.35">
      <c r="C16" t="s">
        <v>708</v>
      </c>
      <c r="D16" t="s">
        <v>709</v>
      </c>
      <c r="E16" t="s">
        <v>701</v>
      </c>
    </row>
    <row r="17" spans="2:5" x14ac:dyDescent="0.35">
      <c r="C17" t="s">
        <v>710</v>
      </c>
      <c r="D17" t="s">
        <v>711</v>
      </c>
      <c r="E17" t="s">
        <v>712</v>
      </c>
    </row>
    <row r="18" spans="2:5" x14ac:dyDescent="0.35">
      <c r="C18" s="131" t="s">
        <v>713</v>
      </c>
      <c r="D18" s="7" t="s">
        <v>714</v>
      </c>
      <c r="E18" s="7" t="s">
        <v>736</v>
      </c>
    </row>
    <row r="19" spans="2:5" x14ac:dyDescent="0.35">
      <c r="C19" s="130"/>
    </row>
    <row r="20" spans="2:5" x14ac:dyDescent="0.35">
      <c r="B20" s="132" t="s">
        <v>725</v>
      </c>
    </row>
    <row r="21" spans="2:5" x14ac:dyDescent="0.35">
      <c r="C21" s="130"/>
    </row>
    <row r="22" spans="2:5" x14ac:dyDescent="0.35">
      <c r="C22" s="130" t="s">
        <v>728</v>
      </c>
    </row>
    <row r="23" spans="2:5" x14ac:dyDescent="0.35">
      <c r="C23" s="133" t="s">
        <v>727</v>
      </c>
    </row>
    <row r="24" spans="2:5" x14ac:dyDescent="0.35">
      <c r="C24" s="133" t="s">
        <v>730</v>
      </c>
    </row>
    <row r="25" spans="2:5" x14ac:dyDescent="0.35">
      <c r="C25" s="130" t="s">
        <v>729</v>
      </c>
    </row>
    <row r="27" spans="2:5" x14ac:dyDescent="0.35">
      <c r="C27" s="129" t="s">
        <v>715</v>
      </c>
      <c r="D27" s="129" t="s">
        <v>723</v>
      </c>
      <c r="E27" s="141" t="s">
        <v>683</v>
      </c>
    </row>
    <row r="28" spans="2:5" x14ac:dyDescent="0.35">
      <c r="C28" t="s">
        <v>371</v>
      </c>
      <c r="D28" t="s">
        <v>716</v>
      </c>
      <c r="E28" s="142" t="s">
        <v>700</v>
      </c>
    </row>
    <row r="29" spans="2:5" x14ac:dyDescent="0.35">
      <c r="C29" s="134" t="s">
        <v>372</v>
      </c>
      <c r="D29" t="s">
        <v>718</v>
      </c>
      <c r="E29" s="142" t="s">
        <v>700</v>
      </c>
    </row>
    <row r="30" spans="2:5" x14ac:dyDescent="0.35">
      <c r="C30" s="134" t="s">
        <v>373</v>
      </c>
      <c r="D30" t="s">
        <v>726</v>
      </c>
      <c r="E30" s="142"/>
    </row>
    <row r="31" spans="2:5" x14ac:dyDescent="0.35">
      <c r="C31" s="134" t="s">
        <v>374</v>
      </c>
      <c r="D31" t="s">
        <v>717</v>
      </c>
      <c r="E31" s="142"/>
    </row>
    <row r="32" spans="2:5" x14ac:dyDescent="0.35">
      <c r="C32" s="134" t="s">
        <v>375</v>
      </c>
      <c r="D32" t="s">
        <v>733</v>
      </c>
      <c r="E32" s="142" t="s">
        <v>32</v>
      </c>
    </row>
    <row r="33" spans="3:5" x14ac:dyDescent="0.35">
      <c r="C33" s="7" t="s">
        <v>376</v>
      </c>
      <c r="D33" s="7" t="s">
        <v>719</v>
      </c>
      <c r="E33" s="143" t="s">
        <v>705</v>
      </c>
    </row>
    <row r="35" spans="3:5" x14ac:dyDescent="0.35">
      <c r="C35" s="135" t="s">
        <v>720</v>
      </c>
    </row>
  </sheetData>
  <hyperlinks>
    <hyperlink ref="C35" r:id="rId1" xr:uid="{D029D6B0-3B0F-45B2-850C-BA149C4905DF}"/>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M131"/>
  <sheetViews>
    <sheetView workbookViewId="0">
      <pane xSplit="3" ySplit="1" topLeftCell="D23" activePane="bottomRight" state="frozen"/>
      <selection activeCell="A52" sqref="A52:XFD52"/>
      <selection pane="topRight" activeCell="A52" sqref="A52:XFD52"/>
      <selection pane="bottomLeft" activeCell="A52" sqref="A52:XFD52"/>
      <selection pane="bottomRight" activeCell="A52" sqref="A52:XFD52"/>
    </sheetView>
  </sheetViews>
  <sheetFormatPr defaultRowHeight="14.5" x14ac:dyDescent="0.35"/>
  <cols>
    <col min="1" max="1" width="67.453125" bestFit="1" customWidth="1"/>
    <col min="2" max="2" width="10.26953125" bestFit="1" customWidth="1"/>
    <col min="3" max="3" width="43.453125" bestFit="1" customWidth="1"/>
    <col min="4" max="4" width="8.26953125" bestFit="1" customWidth="1"/>
    <col min="5" max="5" width="13.1796875" style="46" bestFit="1" customWidth="1"/>
    <col min="6" max="6" width="11.26953125" style="46" bestFit="1" customWidth="1"/>
    <col min="7" max="7" width="7.453125" style="4" bestFit="1" customWidth="1"/>
    <col min="8" max="8" width="10.1796875" style="4" bestFit="1" customWidth="1"/>
    <col min="9" max="9" width="10.26953125" style="4" bestFit="1" customWidth="1"/>
    <col min="10" max="10" width="12.7265625" customWidth="1"/>
    <col min="11" max="13" width="30.54296875" style="4" customWidth="1"/>
  </cols>
  <sheetData>
    <row r="1" spans="1:13" x14ac:dyDescent="0.35">
      <c r="A1" s="73" t="s">
        <v>88</v>
      </c>
      <c r="B1" s="73" t="s">
        <v>89</v>
      </c>
      <c r="C1" s="73" t="s">
        <v>90</v>
      </c>
      <c r="D1" s="73" t="s">
        <v>425</v>
      </c>
      <c r="E1" s="73" t="s">
        <v>64</v>
      </c>
      <c r="F1" s="73" t="s">
        <v>65</v>
      </c>
      <c r="G1" s="73" t="s">
        <v>66</v>
      </c>
      <c r="H1" s="73" t="s">
        <v>67</v>
      </c>
      <c r="I1" s="73" t="s">
        <v>68</v>
      </c>
      <c r="J1" t="s">
        <v>324</v>
      </c>
      <c r="K1" s="92" t="s">
        <v>325</v>
      </c>
      <c r="L1" s="87" t="s">
        <v>326</v>
      </c>
      <c r="M1" s="1" t="s">
        <v>682</v>
      </c>
    </row>
    <row r="2" spans="1:13" x14ac:dyDescent="0.35">
      <c r="A2" t="s">
        <v>31</v>
      </c>
      <c r="B2" t="s">
        <v>92</v>
      </c>
      <c r="C2" t="s">
        <v>93</v>
      </c>
      <c r="D2" s="2">
        <v>43</v>
      </c>
      <c r="E2" s="4">
        <v>0.98</v>
      </c>
      <c r="F2" s="4">
        <v>0.93</v>
      </c>
      <c r="G2" s="4">
        <v>0.3</v>
      </c>
      <c r="H2" s="4">
        <v>0.98</v>
      </c>
      <c r="I2" s="4">
        <v>7.0000000000000007E-2</v>
      </c>
      <c r="J2" s="2"/>
      <c r="K2" s="4" cm="1">
        <f t="array" aca="1" ref="K2" ca="1">INDEX(INDIRECT(trust_rcrdq_table),(ROW()-ROW(INDIRECT(trust_rcrdq_cols))),MATCH(selected_rcrdq_name_xc,INDIRECT(trust_rcrdq_cols),0))</f>
        <v>0.98</v>
      </c>
      <c r="L2">
        <f ca="1">RANK(K2,K:K,0)+COUNTIF($K$2:K2,K2)-1</f>
        <v>27</v>
      </c>
      <c r="M2" cm="1">
        <f t="array" aca="1" ref="M2" ca="1">INDEX(INDIRECT(trust_rcrdq_table),(ROW()-ROW(INDIRECT(trust_rcrdq_cols))),MATCH(selected_rcrdq_denom_xc,INDIRECT(trust_rcrdq_cols),0))</f>
        <v>43</v>
      </c>
    </row>
    <row r="3" spans="1:13" x14ac:dyDescent="0.35">
      <c r="A3" t="s">
        <v>95</v>
      </c>
      <c r="B3" t="s">
        <v>96</v>
      </c>
      <c r="C3" t="s">
        <v>97</v>
      </c>
      <c r="D3" s="2">
        <v>66</v>
      </c>
      <c r="E3" s="4">
        <v>0.94</v>
      </c>
      <c r="F3" s="4">
        <v>0.74</v>
      </c>
      <c r="G3" s="4">
        <v>0.68</v>
      </c>
      <c r="H3" s="4">
        <v>0.97</v>
      </c>
      <c r="I3" s="4">
        <v>0.42</v>
      </c>
      <c r="K3" s="4" cm="1">
        <f t="array" aca="1" ref="K3" ca="1">INDEX(INDIRECT(trust_rcrdq_table),(ROW()-ROW(INDIRECT(trust_rcrdq_cols))),MATCH(selected_rcrdq_name_xc,INDIRECT(trust_rcrdq_cols),0))</f>
        <v>0.94</v>
      </c>
      <c r="L3">
        <f ca="1">RANK(K3,K:K,0)+COUNTIF($K$2:K3,K3)-1</f>
        <v>76</v>
      </c>
      <c r="M3" cm="1">
        <f t="array" aca="1" ref="M3" ca="1">INDEX(INDIRECT(trust_rcrdq_table),(ROW()-ROW(INDIRECT(trust_rcrdq_cols))),MATCH(selected_rcrdq_denom_xc,INDIRECT(trust_rcrdq_cols),0))</f>
        <v>66</v>
      </c>
    </row>
    <row r="4" spans="1:13" x14ac:dyDescent="0.35">
      <c r="A4" t="s">
        <v>99</v>
      </c>
      <c r="B4" t="s">
        <v>100</v>
      </c>
      <c r="C4" t="s">
        <v>101</v>
      </c>
      <c r="D4" s="2">
        <v>116</v>
      </c>
      <c r="E4" s="4">
        <v>0.94</v>
      </c>
      <c r="F4" s="4">
        <v>0.78</v>
      </c>
      <c r="G4" s="4">
        <v>0.85</v>
      </c>
      <c r="H4" s="4">
        <v>0.97</v>
      </c>
      <c r="I4" s="4">
        <v>0.47</v>
      </c>
      <c r="K4" s="4" cm="1">
        <f t="array" aca="1" ref="K4" ca="1">INDEX(INDIRECT(trust_rcrdq_table),(ROW()-ROW(INDIRECT(trust_rcrdq_cols))),MATCH(selected_rcrdq_name_xc,INDIRECT(trust_rcrdq_cols),0))</f>
        <v>0.94</v>
      </c>
      <c r="L4">
        <f ca="1">RANK(K4,K:K,0)+COUNTIF($K$2:K4,K4)-1</f>
        <v>77</v>
      </c>
      <c r="M4" cm="1">
        <f t="array" aca="1" ref="M4" ca="1">INDEX(INDIRECT(trust_rcrdq_table),(ROW()-ROW(INDIRECT(trust_rcrdq_cols))),MATCH(selected_rcrdq_denom_xc,INDIRECT(trust_rcrdq_cols),0))</f>
        <v>116</v>
      </c>
    </row>
    <row r="5" spans="1:13" x14ac:dyDescent="0.35">
      <c r="A5" t="s">
        <v>18</v>
      </c>
      <c r="B5" t="s">
        <v>103</v>
      </c>
      <c r="C5" t="s">
        <v>104</v>
      </c>
      <c r="D5" s="2">
        <v>52</v>
      </c>
      <c r="E5" s="4">
        <v>0.96</v>
      </c>
      <c r="F5" s="4">
        <v>0.62</v>
      </c>
      <c r="G5" s="4">
        <v>0.87</v>
      </c>
      <c r="H5" s="4">
        <v>0.96</v>
      </c>
      <c r="I5" s="4">
        <v>0.42</v>
      </c>
      <c r="K5" s="4" cm="1">
        <f t="array" aca="1" ref="K5" ca="1">INDEX(INDIRECT(trust_rcrdq_table),(ROW()-ROW(INDIRECT(trust_rcrdq_cols))),MATCH(selected_rcrdq_name_xc,INDIRECT(trust_rcrdq_cols),0))</f>
        <v>0.96</v>
      </c>
      <c r="L5">
        <f ca="1">RANK(K5,K:K,0)+COUNTIF($K$2:K5,K5)-1</f>
        <v>53</v>
      </c>
      <c r="M5" cm="1">
        <f t="array" aca="1" ref="M5" ca="1">INDEX(INDIRECT(trust_rcrdq_table),(ROW()-ROW(INDIRECT(trust_rcrdq_cols))),MATCH(selected_rcrdq_denom_xc,INDIRECT(trust_rcrdq_cols),0))</f>
        <v>52</v>
      </c>
    </row>
    <row r="6" spans="1:13" x14ac:dyDescent="0.35">
      <c r="A6" t="s">
        <v>106</v>
      </c>
      <c r="B6" t="s">
        <v>107</v>
      </c>
      <c r="C6" t="s">
        <v>101</v>
      </c>
      <c r="D6" s="2">
        <v>129</v>
      </c>
      <c r="E6" s="4">
        <v>0.97</v>
      </c>
      <c r="F6" s="4">
        <v>0.61</v>
      </c>
      <c r="G6" s="4">
        <v>7.0000000000000007E-2</v>
      </c>
      <c r="H6" s="4">
        <v>0.96</v>
      </c>
      <c r="I6" s="4">
        <v>7.0000000000000007E-2</v>
      </c>
      <c r="K6" s="4" cm="1">
        <f t="array" aca="1" ref="K6" ca="1">INDEX(INDIRECT(trust_rcrdq_table),(ROW()-ROW(INDIRECT(trust_rcrdq_cols))),MATCH(selected_rcrdq_name_xc,INDIRECT(trust_rcrdq_cols),0))</f>
        <v>0.97</v>
      </c>
      <c r="L6">
        <f ca="1">RANK(K6,K:K,0)+COUNTIF($K$2:K6,K6)-1</f>
        <v>46</v>
      </c>
      <c r="M6" cm="1">
        <f t="array" aca="1" ref="M6" ca="1">INDEX(INDIRECT(trust_rcrdq_table),(ROW()-ROW(INDIRECT(trust_rcrdq_cols))),MATCH(selected_rcrdq_denom_xc,INDIRECT(trust_rcrdq_cols),0))</f>
        <v>129</v>
      </c>
    </row>
    <row r="7" spans="1:13" x14ac:dyDescent="0.35">
      <c r="A7" t="s">
        <v>109</v>
      </c>
      <c r="B7" t="s">
        <v>110</v>
      </c>
      <c r="C7" t="s">
        <v>105</v>
      </c>
      <c r="D7" s="2">
        <v>88</v>
      </c>
      <c r="E7" s="4">
        <v>0.91</v>
      </c>
      <c r="F7" s="4">
        <v>0.53</v>
      </c>
      <c r="G7" s="4">
        <v>0.56000000000000005</v>
      </c>
      <c r="H7" s="4">
        <v>0.97</v>
      </c>
      <c r="I7" s="4">
        <v>0.3</v>
      </c>
      <c r="K7" s="4" cm="1">
        <f t="array" aca="1" ref="K7" ca="1">INDEX(INDIRECT(trust_rcrdq_table),(ROW()-ROW(INDIRECT(trust_rcrdq_cols))),MATCH(selected_rcrdq_name_xc,INDIRECT(trust_rcrdq_cols),0))</f>
        <v>0.91</v>
      </c>
      <c r="L7">
        <f ca="1">RANK(K7,K:K,0)+COUNTIF($K$2:K7,K7)-1</f>
        <v>102</v>
      </c>
      <c r="M7" cm="1">
        <f t="array" aca="1" ref="M7" ca="1">INDEX(INDIRECT(trust_rcrdq_table),(ROW()-ROW(INDIRECT(trust_rcrdq_cols))),MATCH(selected_rcrdq_denom_xc,INDIRECT(trust_rcrdq_cols),0))</f>
        <v>88</v>
      </c>
    </row>
    <row r="8" spans="1:13" x14ac:dyDescent="0.35">
      <c r="A8" t="s">
        <v>111</v>
      </c>
      <c r="B8" t="s">
        <v>112</v>
      </c>
      <c r="C8" t="s">
        <v>113</v>
      </c>
      <c r="D8" s="2">
        <v>129</v>
      </c>
      <c r="E8" s="4">
        <v>0.85</v>
      </c>
      <c r="F8" s="4">
        <v>0.81</v>
      </c>
      <c r="G8" s="4">
        <v>0.44</v>
      </c>
      <c r="H8" s="4">
        <v>0.91</v>
      </c>
      <c r="I8" s="4">
        <v>0.11</v>
      </c>
      <c r="K8" s="4" cm="1">
        <f t="array" aca="1" ref="K8" ca="1">INDEX(INDIRECT(trust_rcrdq_table),(ROW()-ROW(INDIRECT(trust_rcrdq_cols))),MATCH(selected_rcrdq_name_xc,INDIRECT(trust_rcrdq_cols),0))</f>
        <v>0.85</v>
      </c>
      <c r="L8">
        <f ca="1">RANK(K8,K:K,0)+COUNTIF($K$2:K8,K8)-1</f>
        <v>124</v>
      </c>
      <c r="M8" cm="1">
        <f t="array" aca="1" ref="M8" ca="1">INDEX(INDIRECT(trust_rcrdq_table),(ROW()-ROW(INDIRECT(trust_rcrdq_cols))),MATCH(selected_rcrdq_denom_xc,INDIRECT(trust_rcrdq_cols),0))</f>
        <v>129</v>
      </c>
    </row>
    <row r="9" spans="1:13" x14ac:dyDescent="0.35">
      <c r="A9" t="s">
        <v>115</v>
      </c>
      <c r="B9" t="s">
        <v>116</v>
      </c>
      <c r="C9" t="s">
        <v>108</v>
      </c>
      <c r="D9" s="2">
        <v>54</v>
      </c>
      <c r="E9" s="4">
        <v>0.94</v>
      </c>
      <c r="F9" s="4">
        <v>0.56000000000000005</v>
      </c>
      <c r="G9" s="4">
        <v>0.5</v>
      </c>
      <c r="H9" s="4">
        <v>0.96</v>
      </c>
      <c r="I9" s="4">
        <v>0.33</v>
      </c>
      <c r="K9" s="4" cm="1">
        <f t="array" aca="1" ref="K9" ca="1">INDEX(INDIRECT(trust_rcrdq_table),(ROW()-ROW(INDIRECT(trust_rcrdq_cols))),MATCH(selected_rcrdq_name_xc,INDIRECT(trust_rcrdq_cols),0))</f>
        <v>0.94</v>
      </c>
      <c r="L9">
        <f ca="1">RANK(K9,K:K,0)+COUNTIF($K$2:K9,K9)-1</f>
        <v>78</v>
      </c>
      <c r="M9" cm="1">
        <f t="array" aca="1" ref="M9" ca="1">INDEX(INDIRECT(trust_rcrdq_table),(ROW()-ROW(INDIRECT(trust_rcrdq_cols))),MATCH(selected_rcrdq_denom_xc,INDIRECT(trust_rcrdq_cols),0))</f>
        <v>54</v>
      </c>
    </row>
    <row r="10" spans="1:13" x14ac:dyDescent="0.35">
      <c r="A10" t="s">
        <v>117</v>
      </c>
      <c r="B10" t="s">
        <v>118</v>
      </c>
      <c r="C10" t="s">
        <v>93</v>
      </c>
      <c r="D10" s="2">
        <v>65</v>
      </c>
      <c r="E10" s="4">
        <v>1</v>
      </c>
      <c r="F10" s="4">
        <v>0.89</v>
      </c>
      <c r="G10" s="4">
        <v>0.6</v>
      </c>
      <c r="H10" s="4">
        <v>0.97</v>
      </c>
      <c r="I10" s="4">
        <v>0.03</v>
      </c>
      <c r="K10" s="4" cm="1">
        <f t="array" aca="1" ref="K10" ca="1">INDEX(INDIRECT(trust_rcrdq_table),(ROW()-ROW(INDIRECT(trust_rcrdq_cols))),MATCH(selected_rcrdq_name_xc,INDIRECT(trust_rcrdq_cols),0))</f>
        <v>1</v>
      </c>
      <c r="L10">
        <f ca="1">RANK(K10,K:K,0)+COUNTIF($K$2:K10,K10)-1</f>
        <v>1</v>
      </c>
      <c r="M10" cm="1">
        <f t="array" aca="1" ref="M10" ca="1">INDEX(INDIRECT(trust_rcrdq_table),(ROW()-ROW(INDIRECT(trust_rcrdq_cols))),MATCH(selected_rcrdq_denom_xc,INDIRECT(trust_rcrdq_cols),0))</f>
        <v>65</v>
      </c>
    </row>
    <row r="11" spans="1:13" x14ac:dyDescent="0.35">
      <c r="A11" t="s">
        <v>120</v>
      </c>
      <c r="B11" t="s">
        <v>121</v>
      </c>
      <c r="C11" t="s">
        <v>122</v>
      </c>
      <c r="D11" s="2">
        <v>145</v>
      </c>
      <c r="E11" s="4">
        <v>0.92</v>
      </c>
      <c r="F11" s="4">
        <v>0.88</v>
      </c>
      <c r="G11" s="4">
        <v>0.28000000000000003</v>
      </c>
      <c r="H11" s="4">
        <v>0.99</v>
      </c>
      <c r="I11" s="4">
        <v>0</v>
      </c>
      <c r="K11" s="4" cm="1">
        <f t="array" aca="1" ref="K11" ca="1">INDEX(INDIRECT(trust_rcrdq_table),(ROW()-ROW(INDIRECT(trust_rcrdq_cols))),MATCH(selected_rcrdq_name_xc,INDIRECT(trust_rcrdq_cols),0))</f>
        <v>0.92</v>
      </c>
      <c r="L11">
        <f ca="1">RANK(K11,K:K,0)+COUNTIF($K$2:K11,K11)-1</f>
        <v>96</v>
      </c>
      <c r="M11" cm="1">
        <f t="array" aca="1" ref="M11" ca="1">INDEX(INDIRECT(trust_rcrdq_table),(ROW()-ROW(INDIRECT(trust_rcrdq_cols))),MATCH(selected_rcrdq_denom_xc,INDIRECT(trust_rcrdq_cols),0))</f>
        <v>145</v>
      </c>
    </row>
    <row r="12" spans="1:13" x14ac:dyDescent="0.35">
      <c r="A12" t="s">
        <v>503</v>
      </c>
      <c r="B12" t="s">
        <v>123</v>
      </c>
      <c r="C12" t="s">
        <v>93</v>
      </c>
      <c r="D12" s="2">
        <v>98</v>
      </c>
      <c r="E12" s="4">
        <v>0.99</v>
      </c>
      <c r="F12" s="4">
        <v>0.92</v>
      </c>
      <c r="G12" s="4">
        <v>0.26</v>
      </c>
      <c r="H12" s="4">
        <v>0.93</v>
      </c>
      <c r="I12" s="4">
        <v>0.15</v>
      </c>
      <c r="K12" s="4" cm="1">
        <f t="array" aca="1" ref="K12" ca="1">INDEX(INDIRECT(trust_rcrdq_table),(ROW()-ROW(INDIRECT(trust_rcrdq_cols))),MATCH(selected_rcrdq_name_xc,INDIRECT(trust_rcrdq_cols),0))</f>
        <v>0.99</v>
      </c>
      <c r="L12">
        <f ca="1">RANK(K12,K:K,0)+COUNTIF($K$2:K12,K12)-1</f>
        <v>19</v>
      </c>
      <c r="M12" cm="1">
        <f t="array" aca="1" ref="M12" ca="1">INDEX(INDIRECT(trust_rcrdq_table),(ROW()-ROW(INDIRECT(trust_rcrdq_cols))),MATCH(selected_rcrdq_denom_xc,INDIRECT(trust_rcrdq_cols),0))</f>
        <v>98</v>
      </c>
    </row>
    <row r="13" spans="1:13" x14ac:dyDescent="0.35">
      <c r="A13" t="s">
        <v>125</v>
      </c>
      <c r="B13" t="s">
        <v>126</v>
      </c>
      <c r="C13" t="s">
        <v>102</v>
      </c>
      <c r="D13" s="2">
        <v>108</v>
      </c>
      <c r="E13" s="4">
        <v>0.98</v>
      </c>
      <c r="F13" s="4">
        <v>0.1</v>
      </c>
      <c r="G13" s="4">
        <v>0.6</v>
      </c>
      <c r="H13" s="4">
        <v>0.96</v>
      </c>
      <c r="I13" s="4">
        <v>0.24</v>
      </c>
      <c r="K13" s="4" cm="1">
        <f t="array" aca="1" ref="K13" ca="1">INDEX(INDIRECT(trust_rcrdq_table),(ROW()-ROW(INDIRECT(trust_rcrdq_cols))),MATCH(selected_rcrdq_name_xc,INDIRECT(trust_rcrdq_cols),0))</f>
        <v>0.98</v>
      </c>
      <c r="L13">
        <f ca="1">RANK(K13,K:K,0)+COUNTIF($K$2:K13,K13)-1</f>
        <v>28</v>
      </c>
      <c r="M13" cm="1">
        <f t="array" aca="1" ref="M13" ca="1">INDEX(INDIRECT(trust_rcrdq_table),(ROW()-ROW(INDIRECT(trust_rcrdq_cols))),MATCH(selected_rcrdq_denom_xc,INDIRECT(trust_rcrdq_cols),0))</f>
        <v>108</v>
      </c>
    </row>
    <row r="14" spans="1:13" x14ac:dyDescent="0.35">
      <c r="A14" t="s">
        <v>128</v>
      </c>
      <c r="B14" t="s">
        <v>129</v>
      </c>
      <c r="C14" t="s">
        <v>462</v>
      </c>
      <c r="D14" s="2">
        <v>76</v>
      </c>
      <c r="E14" s="4">
        <v>0.88</v>
      </c>
      <c r="F14" s="4">
        <v>0.71</v>
      </c>
      <c r="G14" s="4">
        <v>0.5</v>
      </c>
      <c r="H14" s="4">
        <v>0.93</v>
      </c>
      <c r="I14" s="4">
        <v>0.32</v>
      </c>
      <c r="K14" s="4" cm="1">
        <f t="array" aca="1" ref="K14" ca="1">INDEX(INDIRECT(trust_rcrdq_table),(ROW()-ROW(INDIRECT(trust_rcrdq_cols))),MATCH(selected_rcrdq_name_xc,INDIRECT(trust_rcrdq_cols),0))</f>
        <v>0.88</v>
      </c>
      <c r="L14">
        <f ca="1">RANK(K14,K:K,0)+COUNTIF($K$2:K14,K14)-1</f>
        <v>115</v>
      </c>
      <c r="M14" cm="1">
        <f t="array" aca="1" ref="M14" ca="1">INDEX(INDIRECT(trust_rcrdq_table),(ROW()-ROW(INDIRECT(trust_rcrdq_cols))),MATCH(selected_rcrdq_denom_xc,INDIRECT(trust_rcrdq_cols),0))</f>
        <v>76</v>
      </c>
    </row>
    <row r="15" spans="1:13" x14ac:dyDescent="0.35">
      <c r="A15" t="s">
        <v>130</v>
      </c>
      <c r="B15" t="s">
        <v>131</v>
      </c>
      <c r="C15" t="s">
        <v>104</v>
      </c>
      <c r="D15" s="2">
        <v>96</v>
      </c>
      <c r="E15" s="4">
        <v>0.98</v>
      </c>
      <c r="F15" s="4">
        <v>0.75</v>
      </c>
      <c r="G15" s="4">
        <v>0.96</v>
      </c>
      <c r="H15" s="4">
        <v>0.99</v>
      </c>
      <c r="I15" s="4">
        <v>0.66</v>
      </c>
      <c r="K15" s="4" cm="1">
        <f t="array" aca="1" ref="K15" ca="1">INDEX(INDIRECT(trust_rcrdq_table),(ROW()-ROW(INDIRECT(trust_rcrdq_cols))),MATCH(selected_rcrdq_name_xc,INDIRECT(trust_rcrdq_cols),0))</f>
        <v>0.98</v>
      </c>
      <c r="L15">
        <f ca="1">RANK(K15,K:K,0)+COUNTIF($K$2:K15,K15)-1</f>
        <v>29</v>
      </c>
      <c r="M15" cm="1">
        <f t="array" aca="1" ref="M15" ca="1">INDEX(INDIRECT(trust_rcrdq_table),(ROW()-ROW(INDIRECT(trust_rcrdq_cols))),MATCH(selected_rcrdq_denom_xc,INDIRECT(trust_rcrdq_cols),0))</f>
        <v>96</v>
      </c>
    </row>
    <row r="16" spans="1:13" x14ac:dyDescent="0.35">
      <c r="A16" t="s">
        <v>468</v>
      </c>
      <c r="B16" t="s">
        <v>276</v>
      </c>
      <c r="C16" t="s">
        <v>108</v>
      </c>
      <c r="D16" s="2">
        <v>39</v>
      </c>
      <c r="E16" s="4">
        <v>0.82</v>
      </c>
      <c r="F16" s="4">
        <v>0.23</v>
      </c>
      <c r="G16" s="4">
        <v>0.03</v>
      </c>
      <c r="H16" s="4">
        <v>0.9</v>
      </c>
      <c r="I16" s="4">
        <v>0.03</v>
      </c>
      <c r="K16" s="4" cm="1">
        <f t="array" aca="1" ref="K16" ca="1">INDEX(INDIRECT(trust_rcrdq_table),(ROW()-ROW(INDIRECT(trust_rcrdq_cols))),MATCH(selected_rcrdq_name_xc,INDIRECT(trust_rcrdq_cols),0))</f>
        <v>0.82</v>
      </c>
      <c r="L16">
        <f ca="1">RANK(K16,K:K,0)+COUNTIF($K$2:K16,K16)-1</f>
        <v>129</v>
      </c>
      <c r="M16" cm="1">
        <f t="array" aca="1" ref="M16" ca="1">INDEX(INDIRECT(trust_rcrdq_table),(ROW()-ROW(INDIRECT(trust_rcrdq_cols))),MATCH(selected_rcrdq_denom_xc,INDIRECT(trust_rcrdq_cols),0))</f>
        <v>39</v>
      </c>
    </row>
    <row r="17" spans="1:13" x14ac:dyDescent="0.35">
      <c r="A17" t="s">
        <v>473</v>
      </c>
      <c r="B17" t="s">
        <v>277</v>
      </c>
      <c r="C17" t="s">
        <v>94</v>
      </c>
      <c r="D17" s="2">
        <v>132</v>
      </c>
      <c r="E17" s="4">
        <v>0.92</v>
      </c>
      <c r="F17" s="4">
        <v>0.78</v>
      </c>
      <c r="G17" s="4">
        <v>0.73</v>
      </c>
      <c r="H17" s="4">
        <v>0.95</v>
      </c>
      <c r="I17" s="4">
        <v>0.47</v>
      </c>
      <c r="K17" s="4" cm="1">
        <f t="array" aca="1" ref="K17" ca="1">INDEX(INDIRECT(trust_rcrdq_table),(ROW()-ROW(INDIRECT(trust_rcrdq_cols))),MATCH(selected_rcrdq_name_xc,INDIRECT(trust_rcrdq_cols),0))</f>
        <v>0.92</v>
      </c>
      <c r="L17">
        <f ca="1">RANK(K17,K:K,0)+COUNTIF($K$2:K17,K17)-1</f>
        <v>97</v>
      </c>
      <c r="M17" cm="1">
        <f t="array" aca="1" ref="M17" ca="1">INDEX(INDIRECT(trust_rcrdq_table),(ROW()-ROW(INDIRECT(trust_rcrdq_cols))),MATCH(selected_rcrdq_denom_xc,INDIRECT(trust_rcrdq_cols),0))</f>
        <v>132</v>
      </c>
    </row>
    <row r="18" spans="1:13" x14ac:dyDescent="0.35">
      <c r="A18" t="s">
        <v>481</v>
      </c>
      <c r="B18" t="s">
        <v>132</v>
      </c>
      <c r="C18" t="s">
        <v>94</v>
      </c>
      <c r="D18" s="2">
        <v>56</v>
      </c>
      <c r="E18" s="4">
        <v>0.93</v>
      </c>
      <c r="F18" s="4">
        <v>0.86</v>
      </c>
      <c r="G18" s="4">
        <v>0.88</v>
      </c>
      <c r="H18" s="4">
        <v>0.96</v>
      </c>
      <c r="I18" s="4">
        <v>0.54</v>
      </c>
      <c r="K18" s="4" cm="1">
        <f t="array" aca="1" ref="K18" ca="1">INDEX(INDIRECT(trust_rcrdq_table),(ROW()-ROW(INDIRECT(trust_rcrdq_cols))),MATCH(selected_rcrdq_name_xc,INDIRECT(trust_rcrdq_cols),0))</f>
        <v>0.93</v>
      </c>
      <c r="L18">
        <f ca="1">RANK(K18,K:K,0)+COUNTIF($K$2:K18,K18)-1</f>
        <v>92</v>
      </c>
      <c r="M18" cm="1">
        <f t="array" aca="1" ref="M18" ca="1">INDEX(INDIRECT(trust_rcrdq_table),(ROW()-ROW(INDIRECT(trust_rcrdq_cols))),MATCH(selected_rcrdq_denom_xc,INDIRECT(trust_rcrdq_cols),0))</f>
        <v>56</v>
      </c>
    </row>
    <row r="19" spans="1:13" x14ac:dyDescent="0.35">
      <c r="A19" t="s">
        <v>134</v>
      </c>
      <c r="B19" t="s">
        <v>135</v>
      </c>
      <c r="C19" t="s">
        <v>124</v>
      </c>
      <c r="D19" s="2">
        <v>113</v>
      </c>
      <c r="E19" s="4">
        <v>0.95</v>
      </c>
      <c r="F19" s="4">
        <v>0.89</v>
      </c>
      <c r="G19" s="4">
        <v>0.75</v>
      </c>
      <c r="H19" s="4">
        <v>0.99</v>
      </c>
      <c r="I19" s="4">
        <v>0.38</v>
      </c>
      <c r="K19" s="4" cm="1">
        <f t="array" aca="1" ref="K19" ca="1">INDEX(INDIRECT(trust_rcrdq_table),(ROW()-ROW(INDIRECT(trust_rcrdq_cols))),MATCH(selected_rcrdq_name_xc,INDIRECT(trust_rcrdq_cols),0))</f>
        <v>0.95</v>
      </c>
      <c r="L19">
        <f ca="1">RANK(K19,K:K,0)+COUNTIF($K$2:K19,K19)-1</f>
        <v>62</v>
      </c>
      <c r="M19" cm="1">
        <f t="array" aca="1" ref="M19" ca="1">INDEX(INDIRECT(trust_rcrdq_table),(ROW()-ROW(INDIRECT(trust_rcrdq_cols))),MATCH(selected_rcrdq_denom_xc,INDIRECT(trust_rcrdq_cols),0))</f>
        <v>113</v>
      </c>
    </row>
    <row r="20" spans="1:13" x14ac:dyDescent="0.35">
      <c r="A20" t="s">
        <v>136</v>
      </c>
      <c r="B20" t="s">
        <v>137</v>
      </c>
      <c r="C20" t="s">
        <v>462</v>
      </c>
      <c r="D20" s="2">
        <v>51</v>
      </c>
      <c r="E20" s="4">
        <v>0.98</v>
      </c>
      <c r="F20" s="4">
        <v>0.67</v>
      </c>
      <c r="G20" s="4">
        <v>0.14000000000000001</v>
      </c>
      <c r="H20" s="4">
        <v>0.94</v>
      </c>
      <c r="I20" s="4">
        <v>0.43</v>
      </c>
      <c r="K20" s="4" cm="1">
        <f t="array" aca="1" ref="K20" ca="1">INDEX(INDIRECT(trust_rcrdq_table),(ROW()-ROW(INDIRECT(trust_rcrdq_cols))),MATCH(selected_rcrdq_name_xc,INDIRECT(trust_rcrdq_cols),0))</f>
        <v>0.98</v>
      </c>
      <c r="L20">
        <f ca="1">RANK(K20,K:K,0)+COUNTIF($K$2:K20,K20)-1</f>
        <v>30</v>
      </c>
      <c r="M20" cm="1">
        <f t="array" aca="1" ref="M20" ca="1">INDEX(INDIRECT(trust_rcrdq_table),(ROW()-ROW(INDIRECT(trust_rcrdq_cols))),MATCH(selected_rcrdq_denom_xc,INDIRECT(trust_rcrdq_cols),0))</f>
        <v>51</v>
      </c>
    </row>
    <row r="21" spans="1:13" x14ac:dyDescent="0.35">
      <c r="A21" t="s">
        <v>138</v>
      </c>
      <c r="B21" t="s">
        <v>139</v>
      </c>
      <c r="C21" t="s">
        <v>114</v>
      </c>
      <c r="D21" s="2">
        <v>63</v>
      </c>
      <c r="E21" s="4">
        <v>0.94</v>
      </c>
      <c r="F21" s="4">
        <v>0.89</v>
      </c>
      <c r="G21" s="4">
        <v>1</v>
      </c>
      <c r="H21" s="4">
        <v>0.97</v>
      </c>
      <c r="I21" s="4">
        <v>0.22</v>
      </c>
      <c r="K21" s="4" cm="1">
        <f t="array" aca="1" ref="K21" ca="1">INDEX(INDIRECT(trust_rcrdq_table),(ROW()-ROW(INDIRECT(trust_rcrdq_cols))),MATCH(selected_rcrdq_name_xc,INDIRECT(trust_rcrdq_cols),0))</f>
        <v>0.94</v>
      </c>
      <c r="L21">
        <f ca="1">RANK(K21,K:K,0)+COUNTIF($K$2:K21,K21)-1</f>
        <v>79</v>
      </c>
      <c r="M21" cm="1">
        <f t="array" aca="1" ref="M21" ca="1">INDEX(INDIRECT(trust_rcrdq_table),(ROW()-ROW(INDIRECT(trust_rcrdq_cols))),MATCH(selected_rcrdq_denom_xc,INDIRECT(trust_rcrdq_cols),0))</f>
        <v>63</v>
      </c>
    </row>
    <row r="22" spans="1:13" x14ac:dyDescent="0.35">
      <c r="A22" t="s">
        <v>140</v>
      </c>
      <c r="B22" t="s">
        <v>141</v>
      </c>
      <c r="C22" t="s">
        <v>104</v>
      </c>
      <c r="D22" s="2">
        <v>80</v>
      </c>
      <c r="E22" s="4">
        <v>0.94</v>
      </c>
      <c r="F22" s="4">
        <v>0.31</v>
      </c>
      <c r="G22" s="4">
        <v>0.54</v>
      </c>
      <c r="H22" s="4">
        <v>0.94</v>
      </c>
      <c r="I22" s="4">
        <v>0.39</v>
      </c>
      <c r="K22" s="4" cm="1">
        <f t="array" aca="1" ref="K22" ca="1">INDEX(INDIRECT(trust_rcrdq_table),(ROW()-ROW(INDIRECT(trust_rcrdq_cols))),MATCH(selected_rcrdq_name_xc,INDIRECT(trust_rcrdq_cols),0))</f>
        <v>0.94</v>
      </c>
      <c r="L22">
        <f ca="1">RANK(K22,K:K,0)+COUNTIF($K$2:K22,K22)-1</f>
        <v>80</v>
      </c>
      <c r="M22" cm="1">
        <f t="array" aca="1" ref="M22" ca="1">INDEX(INDIRECT(trust_rcrdq_table),(ROW()-ROW(INDIRECT(trust_rcrdq_cols))),MATCH(selected_rcrdq_denom_xc,INDIRECT(trust_rcrdq_cols),0))</f>
        <v>80</v>
      </c>
    </row>
    <row r="23" spans="1:13" x14ac:dyDescent="0.35">
      <c r="A23" t="s">
        <v>143</v>
      </c>
      <c r="B23" t="s">
        <v>144</v>
      </c>
      <c r="C23" t="s">
        <v>142</v>
      </c>
      <c r="D23" s="2">
        <v>65</v>
      </c>
      <c r="E23" s="4">
        <v>0.89</v>
      </c>
      <c r="F23" s="4">
        <v>0.86</v>
      </c>
      <c r="G23" s="4">
        <v>0.75</v>
      </c>
      <c r="H23" s="4">
        <v>0.97</v>
      </c>
      <c r="I23" s="4">
        <v>0.12</v>
      </c>
      <c r="K23" s="4" cm="1">
        <f t="array" aca="1" ref="K23" ca="1">INDEX(INDIRECT(trust_rcrdq_table),(ROW()-ROW(INDIRECT(trust_rcrdq_cols))),MATCH(selected_rcrdq_name_xc,INDIRECT(trust_rcrdq_cols),0))</f>
        <v>0.89</v>
      </c>
      <c r="L23">
        <f ca="1">RANK(K23,K:K,0)+COUNTIF($K$2:K23,K23)-1</f>
        <v>113</v>
      </c>
      <c r="M23" cm="1">
        <f t="array" aca="1" ref="M23" ca="1">INDEX(INDIRECT(trust_rcrdq_table),(ROW()-ROW(INDIRECT(trust_rcrdq_cols))),MATCH(selected_rcrdq_denom_xc,INDIRECT(trust_rcrdq_cols),0))</f>
        <v>65</v>
      </c>
    </row>
    <row r="24" spans="1:13" x14ac:dyDescent="0.35">
      <c r="A24" t="s">
        <v>487</v>
      </c>
      <c r="B24" t="s">
        <v>278</v>
      </c>
      <c r="C24" t="s">
        <v>145</v>
      </c>
      <c r="D24" s="2">
        <v>93</v>
      </c>
      <c r="E24" s="4">
        <v>0.95</v>
      </c>
      <c r="F24" s="4">
        <v>0.92</v>
      </c>
      <c r="G24" s="4">
        <v>0.32</v>
      </c>
      <c r="H24" s="4">
        <v>0.99</v>
      </c>
      <c r="I24" s="4">
        <v>0.47</v>
      </c>
      <c r="K24" s="4" cm="1">
        <f t="array" aca="1" ref="K24" ca="1">INDEX(INDIRECT(trust_rcrdq_table),(ROW()-ROW(INDIRECT(trust_rcrdq_cols))),MATCH(selected_rcrdq_name_xc,INDIRECT(trust_rcrdq_cols),0))</f>
        <v>0.95</v>
      </c>
      <c r="L24">
        <f ca="1">RANK(K24,K:K,0)+COUNTIF($K$2:K24,K24)-1</f>
        <v>63</v>
      </c>
      <c r="M24" cm="1">
        <f t="array" aca="1" ref="M24" ca="1">INDEX(INDIRECT(trust_rcrdq_table),(ROW()-ROW(INDIRECT(trust_rcrdq_cols))),MATCH(selected_rcrdq_denom_xc,INDIRECT(trust_rcrdq_cols),0))</f>
        <v>93</v>
      </c>
    </row>
    <row r="25" spans="1:13" x14ac:dyDescent="0.35">
      <c r="A25" t="s">
        <v>146</v>
      </c>
      <c r="B25" t="s">
        <v>147</v>
      </c>
      <c r="C25" t="s">
        <v>105</v>
      </c>
      <c r="D25" s="2">
        <v>73</v>
      </c>
      <c r="E25" s="4">
        <v>0.95</v>
      </c>
      <c r="F25" s="4">
        <v>0.16</v>
      </c>
      <c r="G25" s="4">
        <v>0.71</v>
      </c>
      <c r="H25" s="4">
        <v>0.99</v>
      </c>
      <c r="I25" s="4">
        <v>0.01</v>
      </c>
      <c r="K25" s="4" cm="1">
        <f t="array" aca="1" ref="K25" ca="1">INDEX(INDIRECT(trust_rcrdq_table),(ROW()-ROW(INDIRECT(trust_rcrdq_cols))),MATCH(selected_rcrdq_name_xc,INDIRECT(trust_rcrdq_cols),0))</f>
        <v>0.95</v>
      </c>
      <c r="L25">
        <f ca="1">RANK(K25,K:K,0)+COUNTIF($K$2:K25,K25)-1</f>
        <v>64</v>
      </c>
      <c r="M25" cm="1">
        <f t="array" aca="1" ref="M25" ca="1">INDEX(INDIRECT(trust_rcrdq_table),(ROW()-ROW(INDIRECT(trust_rcrdq_cols))),MATCH(selected_rcrdq_denom_xc,INDIRECT(trust_rcrdq_cols),0))</f>
        <v>73</v>
      </c>
    </row>
    <row r="26" spans="1:13" x14ac:dyDescent="0.35">
      <c r="A26" t="s">
        <v>148</v>
      </c>
      <c r="B26" t="s">
        <v>149</v>
      </c>
      <c r="C26" t="s">
        <v>94</v>
      </c>
      <c r="D26" s="2">
        <v>13</v>
      </c>
      <c r="E26" s="4">
        <v>1</v>
      </c>
      <c r="F26" s="4">
        <v>0.69</v>
      </c>
      <c r="G26" s="4">
        <v>0</v>
      </c>
      <c r="H26" s="4">
        <v>0.92</v>
      </c>
      <c r="I26" s="4">
        <v>0</v>
      </c>
      <c r="K26" s="4" cm="1">
        <f t="array" aca="1" ref="K26" ca="1">INDEX(INDIRECT(trust_rcrdq_table),(ROW()-ROW(INDIRECT(trust_rcrdq_cols))),MATCH(selected_rcrdq_name_xc,INDIRECT(trust_rcrdq_cols),0))</f>
        <v>1</v>
      </c>
      <c r="L26">
        <f ca="1">RANK(K26,K:K,0)+COUNTIF($K$2:K26,K26)-1</f>
        <v>2</v>
      </c>
      <c r="M26" cm="1">
        <f t="array" aca="1" ref="M26" ca="1">INDEX(INDIRECT(trust_rcrdq_table),(ROW()-ROW(INDIRECT(trust_rcrdq_cols))),MATCH(selected_rcrdq_denom_xc,INDIRECT(trust_rcrdq_cols),0))</f>
        <v>13</v>
      </c>
    </row>
    <row r="27" spans="1:13" x14ac:dyDescent="0.35">
      <c r="A27" t="s">
        <v>151</v>
      </c>
      <c r="B27" t="s">
        <v>152</v>
      </c>
      <c r="C27" t="s">
        <v>114</v>
      </c>
      <c r="D27" s="2">
        <v>201</v>
      </c>
      <c r="E27" s="4">
        <v>0.93</v>
      </c>
      <c r="F27" s="4">
        <v>0.72</v>
      </c>
      <c r="G27" s="4">
        <v>0.94</v>
      </c>
      <c r="H27" s="4">
        <v>0.95</v>
      </c>
      <c r="I27" s="4">
        <v>0.49</v>
      </c>
      <c r="K27" s="4" cm="1">
        <f t="array" aca="1" ref="K27" ca="1">INDEX(INDIRECT(trust_rcrdq_table),(ROW()-ROW(INDIRECT(trust_rcrdq_cols))),MATCH(selected_rcrdq_name_xc,INDIRECT(trust_rcrdq_cols),0))</f>
        <v>0.93</v>
      </c>
      <c r="L27">
        <f ca="1">RANK(K27,K:K,0)+COUNTIF($K$2:K27,K27)-1</f>
        <v>93</v>
      </c>
      <c r="M27" cm="1">
        <f t="array" aca="1" ref="M27" ca="1">INDEX(INDIRECT(trust_rcrdq_table),(ROW()-ROW(INDIRECT(trust_rcrdq_cols))),MATCH(selected_rcrdq_denom_xc,INDIRECT(trust_rcrdq_cols),0))</f>
        <v>201</v>
      </c>
    </row>
    <row r="28" spans="1:13" x14ac:dyDescent="0.35">
      <c r="A28" t="s">
        <v>153</v>
      </c>
      <c r="B28" t="s">
        <v>154</v>
      </c>
      <c r="C28" t="s">
        <v>113</v>
      </c>
      <c r="D28" s="2">
        <v>128</v>
      </c>
      <c r="E28" s="4">
        <v>0.95</v>
      </c>
      <c r="F28" s="4">
        <v>0.85</v>
      </c>
      <c r="G28" s="4">
        <v>0.71</v>
      </c>
      <c r="H28" s="4">
        <v>0.89</v>
      </c>
      <c r="I28" s="4">
        <v>0.59</v>
      </c>
      <c r="K28" s="4" cm="1">
        <f t="array" aca="1" ref="K28" ca="1">INDEX(INDIRECT(trust_rcrdq_table),(ROW()-ROW(INDIRECT(trust_rcrdq_cols))),MATCH(selected_rcrdq_name_xc,INDIRECT(trust_rcrdq_cols),0))</f>
        <v>0.95</v>
      </c>
      <c r="L28">
        <f ca="1">RANK(K28,K:K,0)+COUNTIF($K$2:K28,K28)-1</f>
        <v>65</v>
      </c>
      <c r="M28" cm="1">
        <f t="array" aca="1" ref="M28" ca="1">INDEX(INDIRECT(trust_rcrdq_table),(ROW()-ROW(INDIRECT(trust_rcrdq_cols))),MATCH(selected_rcrdq_denom_xc,INDIRECT(trust_rcrdq_cols),0))</f>
        <v>128</v>
      </c>
    </row>
    <row r="29" spans="1:13" x14ac:dyDescent="0.35">
      <c r="A29" t="s">
        <v>156</v>
      </c>
      <c r="B29" t="s">
        <v>157</v>
      </c>
      <c r="C29" t="s">
        <v>102</v>
      </c>
      <c r="D29" s="2">
        <v>250</v>
      </c>
      <c r="E29" s="4">
        <v>0.91</v>
      </c>
      <c r="F29" s="4">
        <v>0.86</v>
      </c>
      <c r="G29" s="4">
        <v>0.83</v>
      </c>
      <c r="H29" s="4">
        <v>0.93</v>
      </c>
      <c r="I29" s="4">
        <v>0.28999999999999998</v>
      </c>
      <c r="K29" s="4" cm="1">
        <f t="array" aca="1" ref="K29" ca="1">INDEX(INDIRECT(trust_rcrdq_table),(ROW()-ROW(INDIRECT(trust_rcrdq_cols))),MATCH(selected_rcrdq_name_xc,INDIRECT(trust_rcrdq_cols),0))</f>
        <v>0.91</v>
      </c>
      <c r="L29">
        <f ca="1">RANK(K29,K:K,0)+COUNTIF($K$2:K29,K29)-1</f>
        <v>103</v>
      </c>
      <c r="M29" cm="1">
        <f t="array" aca="1" ref="M29" ca="1">INDEX(INDIRECT(trust_rcrdq_table),(ROW()-ROW(INDIRECT(trust_rcrdq_cols))),MATCH(selected_rcrdq_denom_xc,INDIRECT(trust_rcrdq_cols),0))</f>
        <v>250</v>
      </c>
    </row>
    <row r="30" spans="1:13" x14ac:dyDescent="0.35">
      <c r="A30" t="s">
        <v>158</v>
      </c>
      <c r="B30" t="s">
        <v>159</v>
      </c>
      <c r="C30" t="s">
        <v>97</v>
      </c>
      <c r="D30" s="2">
        <v>70</v>
      </c>
      <c r="E30" s="4">
        <v>0.96</v>
      </c>
      <c r="F30" s="4">
        <v>0.76</v>
      </c>
      <c r="G30" s="4">
        <v>0.13</v>
      </c>
      <c r="H30" s="4">
        <v>1</v>
      </c>
      <c r="I30" s="4">
        <v>0</v>
      </c>
      <c r="K30" s="4" cm="1">
        <f t="array" aca="1" ref="K30" ca="1">INDEX(INDIRECT(trust_rcrdq_table),(ROW()-ROW(INDIRECT(trust_rcrdq_cols))),MATCH(selected_rcrdq_name_xc,INDIRECT(trust_rcrdq_cols),0))</f>
        <v>0.96</v>
      </c>
      <c r="L30">
        <f ca="1">RANK(K30,K:K,0)+COUNTIF($K$2:K30,K30)-1</f>
        <v>54</v>
      </c>
      <c r="M30" cm="1">
        <f t="array" aca="1" ref="M30" ca="1">INDEX(INDIRECT(trust_rcrdq_table),(ROW()-ROW(INDIRECT(trust_rcrdq_cols))),MATCH(selected_rcrdq_denom_xc,INDIRECT(trust_rcrdq_cols),0))</f>
        <v>70</v>
      </c>
    </row>
    <row r="31" spans="1:13" x14ac:dyDescent="0.35">
      <c r="A31" t="s">
        <v>498</v>
      </c>
      <c r="B31" t="s">
        <v>160</v>
      </c>
      <c r="C31" t="s">
        <v>462</v>
      </c>
      <c r="D31" s="2">
        <v>68</v>
      </c>
      <c r="E31" s="4">
        <v>1</v>
      </c>
      <c r="F31" s="4">
        <v>0.66</v>
      </c>
      <c r="G31" s="4">
        <v>0.49</v>
      </c>
      <c r="H31" s="4">
        <v>0.97</v>
      </c>
      <c r="I31" s="4">
        <v>0.44</v>
      </c>
      <c r="K31" s="4" cm="1">
        <f t="array" aca="1" ref="K31" ca="1">INDEX(INDIRECT(trust_rcrdq_table),(ROW()-ROW(INDIRECT(trust_rcrdq_cols))),MATCH(selected_rcrdq_name_xc,INDIRECT(trust_rcrdq_cols),0))</f>
        <v>1</v>
      </c>
      <c r="L31">
        <f ca="1">RANK(K31,K:K,0)+COUNTIF($K$2:K31,K31)-1</f>
        <v>3</v>
      </c>
      <c r="M31" cm="1">
        <f t="array" aca="1" ref="M31" ca="1">INDEX(INDIRECT(trust_rcrdq_table),(ROW()-ROW(INDIRECT(trust_rcrdq_cols))),MATCH(selected_rcrdq_denom_xc,INDIRECT(trust_rcrdq_cols),0))</f>
        <v>68</v>
      </c>
    </row>
    <row r="32" spans="1:13" x14ac:dyDescent="0.35">
      <c r="A32" t="s">
        <v>161</v>
      </c>
      <c r="B32" t="s">
        <v>162</v>
      </c>
      <c r="C32" t="s">
        <v>97</v>
      </c>
      <c r="D32" s="2">
        <v>164</v>
      </c>
      <c r="E32" s="4">
        <v>0.9</v>
      </c>
      <c r="F32" s="4">
        <v>0.91</v>
      </c>
      <c r="G32" s="4">
        <v>0.76</v>
      </c>
      <c r="H32" s="4">
        <v>0.74</v>
      </c>
      <c r="I32" s="4">
        <v>0.15</v>
      </c>
      <c r="K32" s="4" cm="1">
        <f t="array" aca="1" ref="K32" ca="1">INDEX(INDIRECT(trust_rcrdq_table),(ROW()-ROW(INDIRECT(trust_rcrdq_cols))),MATCH(selected_rcrdq_name_xc,INDIRECT(trust_rcrdq_cols),0))</f>
        <v>0.9</v>
      </c>
      <c r="L32">
        <f ca="1">RANK(K32,K:K,0)+COUNTIF($K$2:K32,K32)-1</f>
        <v>108</v>
      </c>
      <c r="M32" cm="1">
        <f t="array" aca="1" ref="M32" ca="1">INDEX(INDIRECT(trust_rcrdq_table),(ROW()-ROW(INDIRECT(trust_rcrdq_cols))),MATCH(selected_rcrdq_denom_xc,INDIRECT(trust_rcrdq_cols),0))</f>
        <v>164</v>
      </c>
    </row>
    <row r="33" spans="1:13" x14ac:dyDescent="0.35">
      <c r="A33" t="s">
        <v>163</v>
      </c>
      <c r="B33" t="s">
        <v>164</v>
      </c>
      <c r="C33" t="s">
        <v>124</v>
      </c>
      <c r="D33" s="2">
        <v>39</v>
      </c>
      <c r="E33" s="4">
        <v>0.95</v>
      </c>
      <c r="F33" s="4">
        <v>0.26</v>
      </c>
      <c r="G33" s="4">
        <v>0.33</v>
      </c>
      <c r="H33" s="4">
        <v>0.97</v>
      </c>
      <c r="I33" s="4">
        <v>0.51</v>
      </c>
      <c r="K33" s="4" cm="1">
        <f t="array" aca="1" ref="K33" ca="1">INDEX(INDIRECT(trust_rcrdq_table),(ROW()-ROW(INDIRECT(trust_rcrdq_cols))),MATCH(selected_rcrdq_name_xc,INDIRECT(trust_rcrdq_cols),0))</f>
        <v>0.95</v>
      </c>
      <c r="L33">
        <f ca="1">RANK(K33,K:K,0)+COUNTIF($K$2:K33,K33)-1</f>
        <v>66</v>
      </c>
      <c r="M33" cm="1">
        <f t="array" aca="1" ref="M33" ca="1">INDEX(INDIRECT(trust_rcrdq_table),(ROW()-ROW(INDIRECT(trust_rcrdq_cols))),MATCH(selected_rcrdq_denom_xc,INDIRECT(trust_rcrdq_cols),0))</f>
        <v>39</v>
      </c>
    </row>
    <row r="34" spans="1:13" x14ac:dyDescent="0.35">
      <c r="A34" t="s">
        <v>165</v>
      </c>
      <c r="B34" t="s">
        <v>166</v>
      </c>
      <c r="C34" t="s">
        <v>145</v>
      </c>
      <c r="D34" s="2">
        <v>54</v>
      </c>
      <c r="E34" s="4">
        <v>0.91</v>
      </c>
      <c r="F34" s="4">
        <v>0.94</v>
      </c>
      <c r="G34" s="4">
        <v>0.98</v>
      </c>
      <c r="H34" s="4">
        <v>0.98</v>
      </c>
      <c r="I34" s="4">
        <v>0.41</v>
      </c>
      <c r="K34" s="4" cm="1">
        <f t="array" aca="1" ref="K34" ca="1">INDEX(INDIRECT(trust_rcrdq_table),(ROW()-ROW(INDIRECT(trust_rcrdq_cols))),MATCH(selected_rcrdq_name_xc,INDIRECT(trust_rcrdq_cols),0))</f>
        <v>0.91</v>
      </c>
      <c r="L34">
        <f ca="1">RANK(K34,K:K,0)+COUNTIF($K$2:K34,K34)-1</f>
        <v>104</v>
      </c>
      <c r="M34" cm="1">
        <f t="array" aca="1" ref="M34" ca="1">INDEX(INDIRECT(trust_rcrdq_table),(ROW()-ROW(INDIRECT(trust_rcrdq_cols))),MATCH(selected_rcrdq_denom_xc,INDIRECT(trust_rcrdq_cols),0))</f>
        <v>54</v>
      </c>
    </row>
    <row r="35" spans="1:13" x14ac:dyDescent="0.35">
      <c r="A35" t="s">
        <v>167</v>
      </c>
      <c r="B35" t="s">
        <v>168</v>
      </c>
      <c r="C35" t="s">
        <v>464</v>
      </c>
      <c r="D35" s="2">
        <v>158</v>
      </c>
      <c r="E35" s="4">
        <v>0.98</v>
      </c>
      <c r="F35" s="4">
        <v>7.0000000000000007E-2</v>
      </c>
      <c r="G35" s="4">
        <v>0.54</v>
      </c>
      <c r="H35" s="4">
        <v>0.96</v>
      </c>
      <c r="I35" s="4">
        <v>0.27</v>
      </c>
      <c r="K35" s="4" cm="1">
        <f t="array" aca="1" ref="K35" ca="1">INDEX(INDIRECT(trust_rcrdq_table),(ROW()-ROW(INDIRECT(trust_rcrdq_cols))),MATCH(selected_rcrdq_name_xc,INDIRECT(trust_rcrdq_cols),0))</f>
        <v>0.98</v>
      </c>
      <c r="L35">
        <f ca="1">RANK(K35,K:K,0)+COUNTIF($K$2:K35,K35)-1</f>
        <v>31</v>
      </c>
      <c r="M35" cm="1">
        <f t="array" aca="1" ref="M35" ca="1">INDEX(INDIRECT(trust_rcrdq_table),(ROW()-ROW(INDIRECT(trust_rcrdq_cols))),MATCH(selected_rcrdq_denom_xc,INDIRECT(trust_rcrdq_cols),0))</f>
        <v>158</v>
      </c>
    </row>
    <row r="36" spans="1:13" x14ac:dyDescent="0.35">
      <c r="A36" t="s">
        <v>169</v>
      </c>
      <c r="B36" t="s">
        <v>170</v>
      </c>
      <c r="C36" t="s">
        <v>122</v>
      </c>
      <c r="D36" s="2">
        <v>94</v>
      </c>
      <c r="E36" s="4">
        <v>0.98</v>
      </c>
      <c r="F36" s="4">
        <v>0.79</v>
      </c>
      <c r="G36" s="4">
        <v>0.59</v>
      </c>
      <c r="H36" s="4">
        <v>0.99</v>
      </c>
      <c r="I36" s="4">
        <v>0.36</v>
      </c>
      <c r="K36" s="4" cm="1">
        <f t="array" aca="1" ref="K36" ca="1">INDEX(INDIRECT(trust_rcrdq_table),(ROW()-ROW(INDIRECT(trust_rcrdq_cols))),MATCH(selected_rcrdq_name_xc,INDIRECT(trust_rcrdq_cols),0))</f>
        <v>0.98</v>
      </c>
      <c r="L36">
        <f ca="1">RANK(K36,K:K,0)+COUNTIF($K$2:K36,K36)-1</f>
        <v>32</v>
      </c>
      <c r="M36" cm="1">
        <f t="array" aca="1" ref="M36" ca="1">INDEX(INDIRECT(trust_rcrdq_table),(ROW()-ROW(INDIRECT(trust_rcrdq_cols))),MATCH(selected_rcrdq_denom_xc,INDIRECT(trust_rcrdq_cols),0))</f>
        <v>94</v>
      </c>
    </row>
    <row r="37" spans="1:13" x14ac:dyDescent="0.35">
      <c r="A37" t="s">
        <v>171</v>
      </c>
      <c r="B37" t="s">
        <v>172</v>
      </c>
      <c r="C37" t="s">
        <v>133</v>
      </c>
      <c r="D37" s="2">
        <v>154</v>
      </c>
      <c r="E37" s="4">
        <v>0.88</v>
      </c>
      <c r="F37" s="4">
        <v>0.39</v>
      </c>
      <c r="G37" s="4">
        <v>0.47</v>
      </c>
      <c r="H37" s="4">
        <v>0.96</v>
      </c>
      <c r="I37" s="4">
        <v>0.14000000000000001</v>
      </c>
      <c r="K37" s="4" cm="1">
        <f t="array" aca="1" ref="K37" ca="1">INDEX(INDIRECT(trust_rcrdq_table),(ROW()-ROW(INDIRECT(trust_rcrdq_cols))),MATCH(selected_rcrdq_name_xc,INDIRECT(trust_rcrdq_cols),0))</f>
        <v>0.88</v>
      </c>
      <c r="L37">
        <f ca="1">RANK(K37,K:K,0)+COUNTIF($K$2:K37,K37)-1</f>
        <v>116</v>
      </c>
      <c r="M37" cm="1">
        <f t="array" aca="1" ref="M37" ca="1">INDEX(INDIRECT(trust_rcrdq_table),(ROW()-ROW(INDIRECT(trust_rcrdq_cols))),MATCH(selected_rcrdq_denom_xc,INDIRECT(trust_rcrdq_cols),0))</f>
        <v>154</v>
      </c>
    </row>
    <row r="38" spans="1:13" x14ac:dyDescent="0.35">
      <c r="A38" t="s">
        <v>173</v>
      </c>
      <c r="B38" t="s">
        <v>174</v>
      </c>
      <c r="C38" t="s">
        <v>142</v>
      </c>
      <c r="D38" s="2">
        <v>139</v>
      </c>
      <c r="E38" s="4">
        <v>0.95</v>
      </c>
      <c r="F38" s="4">
        <v>0.86</v>
      </c>
      <c r="G38" s="4">
        <v>0.83</v>
      </c>
      <c r="H38" s="4">
        <v>0.97</v>
      </c>
      <c r="I38" s="4">
        <v>0.46</v>
      </c>
      <c r="K38" s="4" cm="1">
        <f t="array" aca="1" ref="K38" ca="1">INDEX(INDIRECT(trust_rcrdq_table),(ROW()-ROW(INDIRECT(trust_rcrdq_cols))),MATCH(selected_rcrdq_name_xc,INDIRECT(trust_rcrdq_cols),0))</f>
        <v>0.95</v>
      </c>
      <c r="L38">
        <f ca="1">RANK(K38,K:K,0)+COUNTIF($K$2:K38,K38)-1</f>
        <v>67</v>
      </c>
      <c r="M38" cm="1">
        <f t="array" aca="1" ref="M38" ca="1">INDEX(INDIRECT(trust_rcrdq_table),(ROW()-ROW(INDIRECT(trust_rcrdq_cols))),MATCH(selected_rcrdq_denom_xc,INDIRECT(trust_rcrdq_cols),0))</f>
        <v>139</v>
      </c>
    </row>
    <row r="39" spans="1:13" x14ac:dyDescent="0.35">
      <c r="A39" t="s">
        <v>175</v>
      </c>
      <c r="B39" t="s">
        <v>176</v>
      </c>
      <c r="C39" t="s">
        <v>93</v>
      </c>
      <c r="D39" s="2">
        <v>50</v>
      </c>
      <c r="E39" s="4">
        <v>1</v>
      </c>
      <c r="F39" s="4">
        <v>0.88</v>
      </c>
      <c r="G39" s="4">
        <v>0.4</v>
      </c>
      <c r="H39" s="4">
        <v>0.94</v>
      </c>
      <c r="I39" s="4">
        <v>0.26</v>
      </c>
      <c r="K39" s="4" cm="1">
        <f t="array" aca="1" ref="K39" ca="1">INDEX(INDIRECT(trust_rcrdq_table),(ROW()-ROW(INDIRECT(trust_rcrdq_cols))),MATCH(selected_rcrdq_name_xc,INDIRECT(trust_rcrdq_cols),0))</f>
        <v>1</v>
      </c>
      <c r="L39">
        <f ca="1">RANK(K39,K:K,0)+COUNTIF($K$2:K39,K39)-1</f>
        <v>4</v>
      </c>
      <c r="M39" cm="1">
        <f t="array" aca="1" ref="M39" ca="1">INDEX(INDIRECT(trust_rcrdq_table),(ROW()-ROW(INDIRECT(trust_rcrdq_cols))),MATCH(selected_rcrdq_denom_xc,INDIRECT(trust_rcrdq_cols),0))</f>
        <v>50</v>
      </c>
    </row>
    <row r="40" spans="1:13" x14ac:dyDescent="0.35">
      <c r="A40" t="s">
        <v>466</v>
      </c>
      <c r="B40" t="s">
        <v>279</v>
      </c>
      <c r="C40" t="s">
        <v>462</v>
      </c>
      <c r="D40" s="2">
        <v>48</v>
      </c>
      <c r="E40" s="4">
        <v>0.96</v>
      </c>
      <c r="F40" s="4">
        <v>0.81</v>
      </c>
      <c r="G40" s="4">
        <v>0.73</v>
      </c>
      <c r="H40" s="4">
        <v>0.94</v>
      </c>
      <c r="I40" s="4">
        <v>0.57999999999999996</v>
      </c>
      <c r="K40" s="4" cm="1">
        <f t="array" aca="1" ref="K40" ca="1">INDEX(INDIRECT(trust_rcrdq_table),(ROW()-ROW(INDIRECT(trust_rcrdq_cols))),MATCH(selected_rcrdq_name_xc,INDIRECT(trust_rcrdq_cols),0))</f>
        <v>0.96</v>
      </c>
      <c r="L40">
        <f ca="1">RANK(K40,K:K,0)+COUNTIF($K$2:K40,K40)-1</f>
        <v>55</v>
      </c>
      <c r="M40" cm="1">
        <f t="array" aca="1" ref="M40" ca="1">INDEX(INDIRECT(trust_rcrdq_table),(ROW()-ROW(INDIRECT(trust_rcrdq_cols))),MATCH(selected_rcrdq_denom_xc,INDIRECT(trust_rcrdq_cols),0))</f>
        <v>48</v>
      </c>
    </row>
    <row r="41" spans="1:13" x14ac:dyDescent="0.35">
      <c r="A41" t="s">
        <v>492</v>
      </c>
      <c r="B41" t="s">
        <v>177</v>
      </c>
      <c r="C41" t="s">
        <v>101</v>
      </c>
      <c r="D41" s="2">
        <v>36</v>
      </c>
      <c r="E41" s="4">
        <v>0.94</v>
      </c>
      <c r="F41" s="4">
        <v>0.81</v>
      </c>
      <c r="G41" s="4">
        <v>0.33</v>
      </c>
      <c r="H41" s="4">
        <v>1</v>
      </c>
      <c r="I41" s="4">
        <v>0.53</v>
      </c>
      <c r="K41" s="4" cm="1">
        <f t="array" aca="1" ref="K41" ca="1">INDEX(INDIRECT(trust_rcrdq_table),(ROW()-ROW(INDIRECT(trust_rcrdq_cols))),MATCH(selected_rcrdq_name_xc,INDIRECT(trust_rcrdq_cols),0))</f>
        <v>0.94</v>
      </c>
      <c r="L41">
        <f ca="1">RANK(K41,K:K,0)+COUNTIF($K$2:K41,K41)-1</f>
        <v>81</v>
      </c>
      <c r="M41" cm="1">
        <f t="array" aca="1" ref="M41" ca="1">INDEX(INDIRECT(trust_rcrdq_table),(ROW()-ROW(INDIRECT(trust_rcrdq_cols))),MATCH(selected_rcrdq_denom_xc,INDIRECT(trust_rcrdq_cols),0))</f>
        <v>36</v>
      </c>
    </row>
    <row r="42" spans="1:13" x14ac:dyDescent="0.35">
      <c r="A42" t="s">
        <v>178</v>
      </c>
      <c r="B42" t="s">
        <v>179</v>
      </c>
      <c r="C42" t="s">
        <v>469</v>
      </c>
      <c r="D42" s="2">
        <v>225</v>
      </c>
      <c r="E42" s="4">
        <v>0.88</v>
      </c>
      <c r="F42" s="4">
        <v>0.96</v>
      </c>
      <c r="G42" s="4">
        <v>0.7</v>
      </c>
      <c r="H42" s="4">
        <v>0.96</v>
      </c>
      <c r="I42" s="4">
        <v>0.32</v>
      </c>
      <c r="K42" s="4" cm="1">
        <f t="array" aca="1" ref="K42" ca="1">INDEX(INDIRECT(trust_rcrdq_table),(ROW()-ROW(INDIRECT(trust_rcrdq_cols))),MATCH(selected_rcrdq_name_xc,INDIRECT(trust_rcrdq_cols),0))</f>
        <v>0.88</v>
      </c>
      <c r="L42">
        <f ca="1">RANK(K42,K:K,0)+COUNTIF($K$2:K42,K42)-1</f>
        <v>117</v>
      </c>
      <c r="M42" cm="1">
        <f t="array" aca="1" ref="M42" ca="1">INDEX(INDIRECT(trust_rcrdq_table),(ROW()-ROW(INDIRECT(trust_rcrdq_cols))),MATCH(selected_rcrdq_denom_xc,INDIRECT(trust_rcrdq_cols),0))</f>
        <v>225</v>
      </c>
    </row>
    <row r="43" spans="1:13" x14ac:dyDescent="0.35">
      <c r="A43" t="s">
        <v>180</v>
      </c>
      <c r="B43" t="s">
        <v>181</v>
      </c>
      <c r="C43" t="s">
        <v>462</v>
      </c>
      <c r="D43" s="2">
        <v>124</v>
      </c>
      <c r="E43" s="4">
        <v>0.95</v>
      </c>
      <c r="F43" s="4">
        <v>0.8</v>
      </c>
      <c r="G43" s="4">
        <v>0.69</v>
      </c>
      <c r="H43" s="4">
        <v>0.98</v>
      </c>
      <c r="I43" s="4">
        <v>0.6</v>
      </c>
      <c r="K43" s="4" cm="1">
        <f t="array" aca="1" ref="K43" ca="1">INDEX(INDIRECT(trust_rcrdq_table),(ROW()-ROW(INDIRECT(trust_rcrdq_cols))),MATCH(selected_rcrdq_name_xc,INDIRECT(trust_rcrdq_cols),0))</f>
        <v>0.95</v>
      </c>
      <c r="L43">
        <f ca="1">RANK(K43,K:K,0)+COUNTIF($K$2:K43,K43)-1</f>
        <v>68</v>
      </c>
      <c r="M43" cm="1">
        <f t="array" aca="1" ref="M43" ca="1">INDEX(INDIRECT(trust_rcrdq_table),(ROW()-ROW(INDIRECT(trust_rcrdq_cols))),MATCH(selected_rcrdq_denom_xc,INDIRECT(trust_rcrdq_cols),0))</f>
        <v>124</v>
      </c>
    </row>
    <row r="44" spans="1:13" x14ac:dyDescent="0.35">
      <c r="A44" t="s">
        <v>461</v>
      </c>
      <c r="B44" t="s">
        <v>182</v>
      </c>
      <c r="C44" t="s">
        <v>142</v>
      </c>
      <c r="D44" s="2">
        <v>43</v>
      </c>
      <c r="E44" s="4">
        <v>1</v>
      </c>
      <c r="F44" s="4">
        <v>0.93</v>
      </c>
      <c r="G44" s="4">
        <v>0.84</v>
      </c>
      <c r="H44" s="4">
        <v>0.98</v>
      </c>
      <c r="I44" s="4">
        <v>0.3</v>
      </c>
      <c r="K44" s="4" cm="1">
        <f t="array" aca="1" ref="K44" ca="1">INDEX(INDIRECT(trust_rcrdq_table),(ROW()-ROW(INDIRECT(trust_rcrdq_cols))),MATCH(selected_rcrdq_name_xc,INDIRECT(trust_rcrdq_cols),0))</f>
        <v>1</v>
      </c>
      <c r="L44">
        <f ca="1">RANK(K44,K:K,0)+COUNTIF($K$2:K44,K44)-1</f>
        <v>5</v>
      </c>
      <c r="M44" cm="1">
        <f t="array" aca="1" ref="M44" ca="1">INDEX(INDIRECT(trust_rcrdq_table),(ROW()-ROW(INDIRECT(trust_rcrdq_cols))),MATCH(selected_rcrdq_denom_xc,INDIRECT(trust_rcrdq_cols),0))</f>
        <v>43</v>
      </c>
    </row>
    <row r="45" spans="1:13" x14ac:dyDescent="0.35">
      <c r="A45" t="s">
        <v>183</v>
      </c>
      <c r="B45" t="s">
        <v>184</v>
      </c>
      <c r="C45" t="s">
        <v>102</v>
      </c>
      <c r="D45" s="2">
        <v>50</v>
      </c>
      <c r="E45" s="4">
        <v>0.98</v>
      </c>
      <c r="F45" s="4">
        <v>0.72</v>
      </c>
      <c r="G45" s="4">
        <v>0.76</v>
      </c>
      <c r="H45" s="4">
        <v>0.98</v>
      </c>
      <c r="I45" s="4">
        <v>0.02</v>
      </c>
      <c r="K45" s="4" cm="1">
        <f t="array" aca="1" ref="K45" ca="1">INDEX(INDIRECT(trust_rcrdq_table),(ROW()-ROW(INDIRECT(trust_rcrdq_cols))),MATCH(selected_rcrdq_name_xc,INDIRECT(trust_rcrdq_cols),0))</f>
        <v>0.98</v>
      </c>
      <c r="L45">
        <f ca="1">RANK(K45,K:K,0)+COUNTIF($K$2:K45,K45)-1</f>
        <v>33</v>
      </c>
      <c r="M45" cm="1">
        <f t="array" aca="1" ref="M45" ca="1">INDEX(INDIRECT(trust_rcrdq_table),(ROW()-ROW(INDIRECT(trust_rcrdq_cols))),MATCH(selected_rcrdq_denom_xc,INDIRECT(trust_rcrdq_cols),0))</f>
        <v>50</v>
      </c>
    </row>
    <row r="46" spans="1:13" x14ac:dyDescent="0.35">
      <c r="A46" t="s">
        <v>185</v>
      </c>
      <c r="B46" t="s">
        <v>186</v>
      </c>
      <c r="C46" t="s">
        <v>98</v>
      </c>
      <c r="D46" s="2">
        <v>66</v>
      </c>
      <c r="E46" s="4">
        <v>1</v>
      </c>
      <c r="F46" s="4">
        <v>0.7</v>
      </c>
      <c r="G46" s="4">
        <v>0.24</v>
      </c>
      <c r="H46" s="4">
        <v>0.98</v>
      </c>
      <c r="I46" s="4">
        <v>0.17</v>
      </c>
      <c r="K46" s="4" cm="1">
        <f t="array" aca="1" ref="K46" ca="1">INDEX(INDIRECT(trust_rcrdq_table),(ROW()-ROW(INDIRECT(trust_rcrdq_cols))),MATCH(selected_rcrdq_name_xc,INDIRECT(trust_rcrdq_cols),0))</f>
        <v>1</v>
      </c>
      <c r="L46">
        <f ca="1">RANK(K46,K:K,0)+COUNTIF($K$2:K46,K46)-1</f>
        <v>6</v>
      </c>
      <c r="M46" cm="1">
        <f t="array" aca="1" ref="M46" ca="1">INDEX(INDIRECT(trust_rcrdq_table),(ROW()-ROW(INDIRECT(trust_rcrdq_cols))),MATCH(selected_rcrdq_denom_xc,INDIRECT(trust_rcrdq_cols),0))</f>
        <v>66</v>
      </c>
    </row>
    <row r="47" spans="1:13" x14ac:dyDescent="0.35">
      <c r="A47" t="s">
        <v>187</v>
      </c>
      <c r="B47" t="s">
        <v>188</v>
      </c>
      <c r="C47" t="s">
        <v>133</v>
      </c>
      <c r="D47" s="2">
        <v>122</v>
      </c>
      <c r="E47" s="4">
        <v>0.84</v>
      </c>
      <c r="F47" s="4">
        <v>0.69</v>
      </c>
      <c r="G47" s="4">
        <v>0.16</v>
      </c>
      <c r="H47" s="4">
        <v>0.98</v>
      </c>
      <c r="I47" s="4">
        <v>0.08</v>
      </c>
      <c r="K47" s="4" cm="1">
        <f t="array" aca="1" ref="K47" ca="1">INDEX(INDIRECT(trust_rcrdq_table),(ROW()-ROW(INDIRECT(trust_rcrdq_cols))),MATCH(selected_rcrdq_name_xc,INDIRECT(trust_rcrdq_cols),0))</f>
        <v>0.84</v>
      </c>
      <c r="L47">
        <f ca="1">RANK(K47,K:K,0)+COUNTIF($K$2:K47,K47)-1</f>
        <v>128</v>
      </c>
      <c r="M47" cm="1">
        <f t="array" aca="1" ref="M47" ca="1">INDEX(INDIRECT(trust_rcrdq_table),(ROW()-ROW(INDIRECT(trust_rcrdq_cols))),MATCH(selected_rcrdq_denom_xc,INDIRECT(trust_rcrdq_cols),0))</f>
        <v>122</v>
      </c>
    </row>
    <row r="48" spans="1:13" x14ac:dyDescent="0.35">
      <c r="A48" t="s">
        <v>189</v>
      </c>
      <c r="B48" t="s">
        <v>190</v>
      </c>
      <c r="C48" t="s">
        <v>462</v>
      </c>
      <c r="D48" s="2">
        <v>79</v>
      </c>
      <c r="E48" s="4">
        <v>0.97</v>
      </c>
      <c r="F48" s="4">
        <v>0.84</v>
      </c>
      <c r="G48" s="4">
        <v>0.89</v>
      </c>
      <c r="H48" s="4">
        <v>0.97</v>
      </c>
      <c r="I48" s="4">
        <v>0.39</v>
      </c>
      <c r="K48" s="4" cm="1">
        <f t="array" aca="1" ref="K48" ca="1">INDEX(INDIRECT(trust_rcrdq_table),(ROW()-ROW(INDIRECT(trust_rcrdq_cols))),MATCH(selected_rcrdq_name_xc,INDIRECT(trust_rcrdq_cols),0))</f>
        <v>0.97</v>
      </c>
      <c r="L48">
        <f ca="1">RANK(K48,K:K,0)+COUNTIF($K$2:K48,K48)-1</f>
        <v>47</v>
      </c>
      <c r="M48" cm="1">
        <f t="array" aca="1" ref="M48" ca="1">INDEX(INDIRECT(trust_rcrdq_table),(ROW()-ROW(INDIRECT(trust_rcrdq_cols))),MATCH(selected_rcrdq_denom_xc,INDIRECT(trust_rcrdq_cols),0))</f>
        <v>79</v>
      </c>
    </row>
    <row r="49" spans="1:13" x14ac:dyDescent="0.35">
      <c r="A49" t="s">
        <v>191</v>
      </c>
      <c r="B49" t="s">
        <v>192</v>
      </c>
      <c r="C49" t="s">
        <v>113</v>
      </c>
      <c r="D49" s="2">
        <v>40</v>
      </c>
      <c r="E49" s="4">
        <v>0.95</v>
      </c>
      <c r="F49" s="4">
        <v>0.85</v>
      </c>
      <c r="G49" s="4">
        <v>0.38</v>
      </c>
      <c r="H49" s="4">
        <v>1</v>
      </c>
      <c r="I49" s="4">
        <v>0.05</v>
      </c>
      <c r="K49" s="4" cm="1">
        <f t="array" aca="1" ref="K49" ca="1">INDEX(INDIRECT(trust_rcrdq_table),(ROW()-ROW(INDIRECT(trust_rcrdq_cols))),MATCH(selected_rcrdq_name_xc,INDIRECT(trust_rcrdq_cols),0))</f>
        <v>0.95</v>
      </c>
      <c r="L49">
        <f ca="1">RANK(K49,K:K,0)+COUNTIF($K$2:K49,K49)-1</f>
        <v>69</v>
      </c>
      <c r="M49" cm="1">
        <f t="array" aca="1" ref="M49" ca="1">INDEX(INDIRECT(trust_rcrdq_table),(ROW()-ROW(INDIRECT(trust_rcrdq_cols))),MATCH(selected_rcrdq_denom_xc,INDIRECT(trust_rcrdq_cols),0))</f>
        <v>40</v>
      </c>
    </row>
    <row r="50" spans="1:13" x14ac:dyDescent="0.35">
      <c r="A50" t="s">
        <v>193</v>
      </c>
      <c r="B50" t="s">
        <v>194</v>
      </c>
      <c r="C50" t="s">
        <v>93</v>
      </c>
      <c r="D50" s="2">
        <v>203</v>
      </c>
      <c r="E50" s="4">
        <v>0.95</v>
      </c>
      <c r="F50" s="4">
        <v>0.93</v>
      </c>
      <c r="G50" s="4">
        <v>0.85</v>
      </c>
      <c r="H50" s="4">
        <v>0.92</v>
      </c>
      <c r="I50" s="4">
        <v>0.51</v>
      </c>
      <c r="K50" s="4" cm="1">
        <f t="array" aca="1" ref="K50" ca="1">INDEX(INDIRECT(trust_rcrdq_table),(ROW()-ROW(INDIRECT(trust_rcrdq_cols))),MATCH(selected_rcrdq_name_xc,INDIRECT(trust_rcrdq_cols),0))</f>
        <v>0.95</v>
      </c>
      <c r="L50">
        <f ca="1">RANK(K50,K:K,0)+COUNTIF($K$2:K50,K50)-1</f>
        <v>70</v>
      </c>
      <c r="M50" cm="1">
        <f t="array" aca="1" ref="M50" ca="1">INDEX(INDIRECT(trust_rcrdq_table),(ROW()-ROW(INDIRECT(trust_rcrdq_cols))),MATCH(selected_rcrdq_denom_xc,INDIRECT(trust_rcrdq_cols),0))</f>
        <v>203</v>
      </c>
    </row>
    <row r="51" spans="1:13" x14ac:dyDescent="0.35">
      <c r="A51" t="s">
        <v>195</v>
      </c>
      <c r="B51" t="s">
        <v>196</v>
      </c>
      <c r="C51" t="s">
        <v>133</v>
      </c>
      <c r="D51" s="2">
        <v>104</v>
      </c>
      <c r="E51" s="4">
        <v>0.95</v>
      </c>
      <c r="F51" s="4">
        <v>0.66</v>
      </c>
      <c r="G51" s="4">
        <v>0.04</v>
      </c>
      <c r="H51" s="4">
        <v>0.96</v>
      </c>
      <c r="I51" s="4">
        <v>0.24</v>
      </c>
      <c r="K51" s="4" cm="1">
        <f t="array" aca="1" ref="K51" ca="1">INDEX(INDIRECT(trust_rcrdq_table),(ROW()-ROW(INDIRECT(trust_rcrdq_cols))),MATCH(selected_rcrdq_name_xc,INDIRECT(trust_rcrdq_cols),0))</f>
        <v>0.95</v>
      </c>
      <c r="L51">
        <f ca="1">RANK(K51,K:K,0)+COUNTIF($K$2:K51,K51)-1</f>
        <v>71</v>
      </c>
      <c r="M51" cm="1">
        <f t="array" aca="1" ref="M51" ca="1">INDEX(INDIRECT(trust_rcrdq_table),(ROW()-ROW(INDIRECT(trust_rcrdq_cols))),MATCH(selected_rcrdq_denom_xc,INDIRECT(trust_rcrdq_cols),0))</f>
        <v>104</v>
      </c>
    </row>
    <row r="52" spans="1:13" x14ac:dyDescent="0.35">
      <c r="A52" t="s">
        <v>197</v>
      </c>
      <c r="B52" t="s">
        <v>198</v>
      </c>
      <c r="C52" t="s">
        <v>94</v>
      </c>
      <c r="D52" s="2">
        <v>4</v>
      </c>
      <c r="E52" s="4">
        <v>1</v>
      </c>
      <c r="F52" s="4">
        <v>1</v>
      </c>
      <c r="G52" s="4">
        <v>1</v>
      </c>
      <c r="H52" s="4">
        <v>1</v>
      </c>
      <c r="I52" s="4">
        <v>0.75</v>
      </c>
      <c r="K52" s="4" cm="1">
        <f t="array" aca="1" ref="K52" ca="1">INDEX(INDIRECT(trust_rcrdq_table),(ROW()-ROW(INDIRECT(trust_rcrdq_cols))),MATCH(selected_rcrdq_name_xc,INDIRECT(trust_rcrdq_cols),0))</f>
        <v>1</v>
      </c>
      <c r="L52">
        <f ca="1">RANK(K52,K:K,0)+COUNTIF($K$2:K52,K52)-1</f>
        <v>7</v>
      </c>
      <c r="M52" cm="1">
        <f t="array" aca="1" ref="M52" ca="1">INDEX(INDIRECT(trust_rcrdq_table),(ROW()-ROW(INDIRECT(trust_rcrdq_cols))),MATCH(selected_rcrdq_denom_xc,INDIRECT(trust_rcrdq_cols),0))</f>
        <v>4</v>
      </c>
    </row>
    <row r="53" spans="1:13" x14ac:dyDescent="0.35">
      <c r="A53" t="s">
        <v>199</v>
      </c>
      <c r="B53" t="s">
        <v>200</v>
      </c>
      <c r="C53" t="s">
        <v>94</v>
      </c>
      <c r="D53" s="2">
        <v>16</v>
      </c>
      <c r="E53" s="4">
        <v>0.94</v>
      </c>
      <c r="F53" s="4">
        <v>0.69</v>
      </c>
      <c r="G53" s="4">
        <v>0.44</v>
      </c>
      <c r="H53" s="4">
        <v>0.88</v>
      </c>
      <c r="I53" s="4">
        <v>0.19</v>
      </c>
      <c r="K53" s="4" cm="1">
        <f t="array" aca="1" ref="K53" ca="1">INDEX(INDIRECT(trust_rcrdq_table),(ROW()-ROW(INDIRECT(trust_rcrdq_cols))),MATCH(selected_rcrdq_name_xc,INDIRECT(trust_rcrdq_cols),0))</f>
        <v>0.94</v>
      </c>
      <c r="L53">
        <f ca="1">RANK(K53,K:K,0)+COUNTIF($K$2:K53,K53)-1</f>
        <v>82</v>
      </c>
      <c r="M53" cm="1">
        <f t="array" aca="1" ref="M53" ca="1">INDEX(INDIRECT(trust_rcrdq_table),(ROW()-ROW(INDIRECT(trust_rcrdq_cols))),MATCH(selected_rcrdq_denom_xc,INDIRECT(trust_rcrdq_cols),0))</f>
        <v>16</v>
      </c>
    </row>
    <row r="54" spans="1:13" x14ac:dyDescent="0.35">
      <c r="A54" t="s">
        <v>463</v>
      </c>
      <c r="B54" t="s">
        <v>201</v>
      </c>
      <c r="C54" t="s">
        <v>462</v>
      </c>
      <c r="D54" s="2">
        <v>100</v>
      </c>
      <c r="E54" s="4">
        <v>0.98</v>
      </c>
      <c r="F54" s="4">
        <v>0.68</v>
      </c>
      <c r="G54" s="4">
        <v>0.28000000000000003</v>
      </c>
      <c r="H54" s="4">
        <v>0.97</v>
      </c>
      <c r="I54" s="4">
        <v>0.48</v>
      </c>
      <c r="K54" s="4" cm="1">
        <f t="array" aca="1" ref="K54" ca="1">INDEX(INDIRECT(trust_rcrdq_table),(ROW()-ROW(INDIRECT(trust_rcrdq_cols))),MATCH(selected_rcrdq_name_xc,INDIRECT(trust_rcrdq_cols),0))</f>
        <v>0.98</v>
      </c>
      <c r="L54">
        <f ca="1">RANK(K54,K:K,0)+COUNTIF($K$2:K54,K54)-1</f>
        <v>34</v>
      </c>
      <c r="M54" cm="1">
        <f t="array" aca="1" ref="M54" ca="1">INDEX(INDIRECT(trust_rcrdq_table),(ROW()-ROW(INDIRECT(trust_rcrdq_cols))),MATCH(selected_rcrdq_denom_xc,INDIRECT(trust_rcrdq_cols),0))</f>
        <v>100</v>
      </c>
    </row>
    <row r="55" spans="1:13" x14ac:dyDescent="0.35">
      <c r="A55" t="s">
        <v>202</v>
      </c>
      <c r="B55" t="s">
        <v>203</v>
      </c>
      <c r="C55" t="s">
        <v>114</v>
      </c>
      <c r="D55" s="2">
        <v>112</v>
      </c>
      <c r="E55" s="4">
        <v>0.96</v>
      </c>
      <c r="F55" s="4">
        <v>0.35</v>
      </c>
      <c r="G55" s="4">
        <v>0.18</v>
      </c>
      <c r="H55" s="4">
        <v>0.96</v>
      </c>
      <c r="I55" s="4">
        <v>0.04</v>
      </c>
      <c r="K55" s="4" cm="1">
        <f t="array" aca="1" ref="K55" ca="1">INDEX(INDIRECT(trust_rcrdq_table),(ROW()-ROW(INDIRECT(trust_rcrdq_cols))),MATCH(selected_rcrdq_name_xc,INDIRECT(trust_rcrdq_cols),0))</f>
        <v>0.96</v>
      </c>
      <c r="L55">
        <f ca="1">RANK(K55,K:K,0)+COUNTIF($K$2:K55,K55)-1</f>
        <v>56</v>
      </c>
      <c r="M55" cm="1">
        <f t="array" aca="1" ref="M55" ca="1">INDEX(INDIRECT(trust_rcrdq_table),(ROW()-ROW(INDIRECT(trust_rcrdq_cols))),MATCH(selected_rcrdq_denom_xc,INDIRECT(trust_rcrdq_cols),0))</f>
        <v>112</v>
      </c>
    </row>
    <row r="56" spans="1:13" x14ac:dyDescent="0.35">
      <c r="A56" t="s">
        <v>204</v>
      </c>
      <c r="B56" t="s">
        <v>205</v>
      </c>
      <c r="C56" t="s">
        <v>108</v>
      </c>
      <c r="D56" s="2">
        <v>91</v>
      </c>
      <c r="E56" s="4">
        <v>0.97</v>
      </c>
      <c r="F56" s="4">
        <v>0.05</v>
      </c>
      <c r="G56" s="4">
        <v>0.02</v>
      </c>
      <c r="H56" s="4">
        <v>0.9</v>
      </c>
      <c r="I56" s="4">
        <v>0.03</v>
      </c>
      <c r="K56" s="4" cm="1">
        <f t="array" aca="1" ref="K56" ca="1">INDEX(INDIRECT(trust_rcrdq_table),(ROW()-ROW(INDIRECT(trust_rcrdq_cols))),MATCH(selected_rcrdq_name_xc,INDIRECT(trust_rcrdq_cols),0))</f>
        <v>0.97</v>
      </c>
      <c r="L56">
        <f ca="1">RANK(K56,K:K,0)+COUNTIF($K$2:K56,K56)-1</f>
        <v>48</v>
      </c>
      <c r="M56" cm="1">
        <f t="array" aca="1" ref="M56" ca="1">INDEX(INDIRECT(trust_rcrdq_table),(ROW()-ROW(INDIRECT(trust_rcrdq_cols))),MATCH(selected_rcrdq_denom_xc,INDIRECT(trust_rcrdq_cols),0))</f>
        <v>91</v>
      </c>
    </row>
    <row r="57" spans="1:13" x14ac:dyDescent="0.35">
      <c r="A57" t="s">
        <v>206</v>
      </c>
      <c r="B57" t="s">
        <v>207</v>
      </c>
      <c r="C57" t="s">
        <v>114</v>
      </c>
      <c r="D57" s="2">
        <v>87</v>
      </c>
      <c r="E57" s="4">
        <v>0.94</v>
      </c>
      <c r="F57" s="4">
        <v>0.75</v>
      </c>
      <c r="G57" s="4">
        <v>0.6</v>
      </c>
      <c r="H57" s="4">
        <v>0.85</v>
      </c>
      <c r="I57" s="4">
        <v>0.28000000000000003</v>
      </c>
      <c r="K57" s="4" cm="1">
        <f t="array" aca="1" ref="K57" ca="1">INDEX(INDIRECT(trust_rcrdq_table),(ROW()-ROW(INDIRECT(trust_rcrdq_cols))),MATCH(selected_rcrdq_name_xc,INDIRECT(trust_rcrdq_cols),0))</f>
        <v>0.94</v>
      </c>
      <c r="L57">
        <f ca="1">RANK(K57,K:K,0)+COUNTIF($K$2:K57,K57)-1</f>
        <v>83</v>
      </c>
      <c r="M57" cm="1">
        <f t="array" aca="1" ref="M57" ca="1">INDEX(INDIRECT(trust_rcrdq_table),(ROW()-ROW(INDIRECT(trust_rcrdq_cols))),MATCH(selected_rcrdq_denom_xc,INDIRECT(trust_rcrdq_cols),0))</f>
        <v>87</v>
      </c>
    </row>
    <row r="58" spans="1:13" x14ac:dyDescent="0.35">
      <c r="A58" t="s">
        <v>467</v>
      </c>
      <c r="B58" t="s">
        <v>269</v>
      </c>
      <c r="C58" t="s">
        <v>94</v>
      </c>
      <c r="D58" s="2">
        <v>149</v>
      </c>
      <c r="E58" s="4">
        <v>0.99</v>
      </c>
      <c r="F58" s="4">
        <v>0.74</v>
      </c>
      <c r="G58" s="4">
        <v>0.6</v>
      </c>
      <c r="H58" s="4">
        <v>0.99</v>
      </c>
      <c r="I58" s="4">
        <v>0.46</v>
      </c>
      <c r="K58" s="4" cm="1">
        <f t="array" aca="1" ref="K58" ca="1">INDEX(INDIRECT(trust_rcrdq_table),(ROW()-ROW(INDIRECT(trust_rcrdq_cols))),MATCH(selected_rcrdq_name_xc,INDIRECT(trust_rcrdq_cols),0))</f>
        <v>0.99</v>
      </c>
      <c r="L58">
        <f ca="1">RANK(K58,K:K,0)+COUNTIF($K$2:K58,K58)-1</f>
        <v>20</v>
      </c>
      <c r="M58" cm="1">
        <f t="array" aca="1" ref="M58" ca="1">INDEX(INDIRECT(trust_rcrdq_table),(ROW()-ROW(INDIRECT(trust_rcrdq_cols))),MATCH(selected_rcrdq_denom_xc,INDIRECT(trust_rcrdq_cols),0))</f>
        <v>149</v>
      </c>
    </row>
    <row r="59" spans="1:13" x14ac:dyDescent="0.35">
      <c r="A59" t="s">
        <v>208</v>
      </c>
      <c r="B59" t="s">
        <v>209</v>
      </c>
      <c r="C59" t="s">
        <v>105</v>
      </c>
      <c r="D59" s="2">
        <v>283</v>
      </c>
      <c r="E59" s="4">
        <v>0.94</v>
      </c>
      <c r="F59" s="4">
        <v>0.78</v>
      </c>
      <c r="G59" s="4">
        <v>0.41</v>
      </c>
      <c r="H59" s="4">
        <v>0.98</v>
      </c>
      <c r="I59" s="4">
        <v>0.34</v>
      </c>
      <c r="K59" s="4" cm="1">
        <f t="array" aca="1" ref="K59" ca="1">INDEX(INDIRECT(trust_rcrdq_table),(ROW()-ROW(INDIRECT(trust_rcrdq_cols))),MATCH(selected_rcrdq_name_xc,INDIRECT(trust_rcrdq_cols),0))</f>
        <v>0.94</v>
      </c>
      <c r="L59">
        <f ca="1">RANK(K59,K:K,0)+COUNTIF($K$2:K59,K59)-1</f>
        <v>84</v>
      </c>
      <c r="M59" cm="1">
        <f t="array" aca="1" ref="M59" ca="1">INDEX(INDIRECT(trust_rcrdq_table),(ROW()-ROW(INDIRECT(trust_rcrdq_cols))),MATCH(selected_rcrdq_denom_xc,INDIRECT(trust_rcrdq_cols),0))</f>
        <v>283</v>
      </c>
    </row>
    <row r="60" spans="1:13" x14ac:dyDescent="0.35">
      <c r="A60" t="s">
        <v>210</v>
      </c>
      <c r="B60" t="s">
        <v>211</v>
      </c>
      <c r="C60" t="s">
        <v>94</v>
      </c>
      <c r="D60" s="2">
        <v>91</v>
      </c>
      <c r="E60" s="4">
        <v>0.96</v>
      </c>
      <c r="F60" s="4">
        <v>0.88</v>
      </c>
      <c r="G60" s="4">
        <v>0.87</v>
      </c>
      <c r="H60" s="4">
        <v>0.98</v>
      </c>
      <c r="I60" s="4">
        <v>0.26</v>
      </c>
      <c r="K60" s="4" cm="1">
        <f t="array" aca="1" ref="K60" ca="1">INDEX(INDIRECT(trust_rcrdq_table),(ROW()-ROW(INDIRECT(trust_rcrdq_cols))),MATCH(selected_rcrdq_name_xc,INDIRECT(trust_rcrdq_cols),0))</f>
        <v>0.96</v>
      </c>
      <c r="L60">
        <f ca="1">RANK(K60,K:K,0)+COUNTIF($K$2:K60,K60)-1</f>
        <v>57</v>
      </c>
      <c r="M60" cm="1">
        <f t="array" aca="1" ref="M60" ca="1">INDEX(INDIRECT(trust_rcrdq_table),(ROW()-ROW(INDIRECT(trust_rcrdq_cols))),MATCH(selected_rcrdq_denom_xc,INDIRECT(trust_rcrdq_cols),0))</f>
        <v>91</v>
      </c>
    </row>
    <row r="61" spans="1:13" x14ac:dyDescent="0.35">
      <c r="A61" t="s">
        <v>504</v>
      </c>
      <c r="B61" t="s">
        <v>212</v>
      </c>
      <c r="C61" t="s">
        <v>93</v>
      </c>
      <c r="D61" s="2">
        <v>126</v>
      </c>
      <c r="E61" s="4">
        <v>0.99</v>
      </c>
      <c r="F61" s="4">
        <v>0.9</v>
      </c>
      <c r="G61" s="4">
        <v>0.67</v>
      </c>
      <c r="H61" s="4">
        <v>0.91</v>
      </c>
      <c r="I61" s="4">
        <v>0.3</v>
      </c>
      <c r="K61" s="4" cm="1">
        <f t="array" aca="1" ref="K61" ca="1">INDEX(INDIRECT(trust_rcrdq_table),(ROW()-ROW(INDIRECT(trust_rcrdq_cols))),MATCH(selected_rcrdq_name_xc,INDIRECT(trust_rcrdq_cols),0))</f>
        <v>0.99</v>
      </c>
      <c r="L61">
        <f ca="1">RANK(K61,K:K,0)+COUNTIF($K$2:K61,K61)-1</f>
        <v>21</v>
      </c>
      <c r="M61" cm="1">
        <f t="array" aca="1" ref="M61" ca="1">INDEX(INDIRECT(trust_rcrdq_table),(ROW()-ROW(INDIRECT(trust_rcrdq_cols))),MATCH(selected_rcrdq_denom_xc,INDIRECT(trust_rcrdq_cols),0))</f>
        <v>126</v>
      </c>
    </row>
    <row r="62" spans="1:13" x14ac:dyDescent="0.35">
      <c r="A62" t="s">
        <v>213</v>
      </c>
      <c r="B62" t="s">
        <v>214</v>
      </c>
      <c r="C62" t="s">
        <v>105</v>
      </c>
      <c r="D62" s="2">
        <v>87</v>
      </c>
      <c r="E62" s="4">
        <v>0.97</v>
      </c>
      <c r="F62" s="4">
        <v>0.89</v>
      </c>
      <c r="G62" s="4">
        <v>0.9</v>
      </c>
      <c r="H62" s="4">
        <v>0.98</v>
      </c>
      <c r="I62" s="4">
        <v>0.44</v>
      </c>
      <c r="K62" s="4" cm="1">
        <f t="array" aca="1" ref="K62" ca="1">INDEX(INDIRECT(trust_rcrdq_table),(ROW()-ROW(INDIRECT(trust_rcrdq_cols))),MATCH(selected_rcrdq_name_xc,INDIRECT(trust_rcrdq_cols),0))</f>
        <v>0.97</v>
      </c>
      <c r="L62">
        <f ca="1">RANK(K62,K:K,0)+COUNTIF($K$2:K62,K62)-1</f>
        <v>49</v>
      </c>
      <c r="M62" cm="1">
        <f t="array" aca="1" ref="M62" ca="1">INDEX(INDIRECT(trust_rcrdq_table),(ROW()-ROW(INDIRECT(trust_rcrdq_cols))),MATCH(selected_rcrdq_denom_xc,INDIRECT(trust_rcrdq_cols),0))</f>
        <v>87</v>
      </c>
    </row>
    <row r="63" spans="1:13" x14ac:dyDescent="0.35">
      <c r="A63" t="s">
        <v>494</v>
      </c>
      <c r="B63" t="s">
        <v>280</v>
      </c>
      <c r="C63" t="s">
        <v>124</v>
      </c>
      <c r="D63" s="2">
        <v>165</v>
      </c>
      <c r="E63" s="4">
        <v>0.99</v>
      </c>
      <c r="F63" s="4">
        <v>0.76</v>
      </c>
      <c r="G63" s="4">
        <v>0.46</v>
      </c>
      <c r="H63" s="4">
        <v>0.9</v>
      </c>
      <c r="I63" s="4">
        <v>0.42</v>
      </c>
      <c r="K63" s="4" cm="1">
        <f t="array" aca="1" ref="K63" ca="1">INDEX(INDIRECT(trust_rcrdq_table),(ROW()-ROW(INDIRECT(trust_rcrdq_cols))),MATCH(selected_rcrdq_name_xc,INDIRECT(trust_rcrdq_cols),0))</f>
        <v>0.99</v>
      </c>
      <c r="L63">
        <f ca="1">RANK(K63,K:K,0)+COUNTIF($K$2:K63,K63)-1</f>
        <v>22</v>
      </c>
      <c r="M63" cm="1">
        <f t="array" aca="1" ref="M63" ca="1">INDEX(INDIRECT(trust_rcrdq_table),(ROW()-ROW(INDIRECT(trust_rcrdq_cols))),MATCH(selected_rcrdq_denom_xc,INDIRECT(trust_rcrdq_cols),0))</f>
        <v>165</v>
      </c>
    </row>
    <row r="64" spans="1:13" x14ac:dyDescent="0.35">
      <c r="A64" t="s">
        <v>215</v>
      </c>
      <c r="B64" t="s">
        <v>216</v>
      </c>
      <c r="C64" t="s">
        <v>102</v>
      </c>
      <c r="D64" s="2">
        <v>180</v>
      </c>
      <c r="E64" s="4">
        <v>0.98</v>
      </c>
      <c r="F64" s="4">
        <v>0.77</v>
      </c>
      <c r="G64" s="4">
        <v>0.56000000000000005</v>
      </c>
      <c r="H64" s="4">
        <v>0.97</v>
      </c>
      <c r="I64" s="4">
        <v>0.21</v>
      </c>
      <c r="K64" s="4" cm="1">
        <f t="array" aca="1" ref="K64" ca="1">INDEX(INDIRECT(trust_rcrdq_table),(ROW()-ROW(INDIRECT(trust_rcrdq_cols))),MATCH(selected_rcrdq_name_xc,INDIRECT(trust_rcrdq_cols),0))</f>
        <v>0.98</v>
      </c>
      <c r="L64">
        <f ca="1">RANK(K64,K:K,0)+COUNTIF($K$2:K64,K64)-1</f>
        <v>35</v>
      </c>
      <c r="M64" cm="1">
        <f t="array" aca="1" ref="M64" ca="1">INDEX(INDIRECT(trust_rcrdq_table),(ROW()-ROW(INDIRECT(trust_rcrdq_cols))),MATCH(selected_rcrdq_denom_xc,INDIRECT(trust_rcrdq_cols),0))</f>
        <v>180</v>
      </c>
    </row>
    <row r="65" spans="1:13" x14ac:dyDescent="0.35">
      <c r="A65" t="s">
        <v>217</v>
      </c>
      <c r="B65" t="s">
        <v>218</v>
      </c>
      <c r="C65" t="s">
        <v>464</v>
      </c>
      <c r="D65" s="2">
        <v>116</v>
      </c>
      <c r="E65" s="4">
        <v>0.98</v>
      </c>
      <c r="F65" s="4">
        <v>0.89</v>
      </c>
      <c r="G65" s="4">
        <v>0.18</v>
      </c>
      <c r="H65" s="4">
        <v>0.93</v>
      </c>
      <c r="I65" s="4">
        <v>0.1</v>
      </c>
      <c r="K65" s="4" cm="1">
        <f t="array" aca="1" ref="K65" ca="1">INDEX(INDIRECT(trust_rcrdq_table),(ROW()-ROW(INDIRECT(trust_rcrdq_cols))),MATCH(selected_rcrdq_name_xc,INDIRECT(trust_rcrdq_cols),0))</f>
        <v>0.98</v>
      </c>
      <c r="L65">
        <f ca="1">RANK(K65,K:K,0)+COUNTIF($K$2:K65,K65)-1</f>
        <v>36</v>
      </c>
      <c r="M65" cm="1">
        <f t="array" aca="1" ref="M65" ca="1">INDEX(INDIRECT(trust_rcrdq_table),(ROW()-ROW(INDIRECT(trust_rcrdq_cols))),MATCH(selected_rcrdq_denom_xc,INDIRECT(trust_rcrdq_cols),0))</f>
        <v>116</v>
      </c>
    </row>
    <row r="66" spans="1:13" x14ac:dyDescent="0.35">
      <c r="A66" t="s">
        <v>219</v>
      </c>
      <c r="B66" t="s">
        <v>220</v>
      </c>
      <c r="C66" t="s">
        <v>124</v>
      </c>
      <c r="D66" s="2">
        <v>66</v>
      </c>
      <c r="E66" s="4">
        <v>0.94</v>
      </c>
      <c r="F66" s="4">
        <v>0.71</v>
      </c>
      <c r="G66" s="4">
        <v>0.47</v>
      </c>
      <c r="H66" s="4">
        <v>0.95</v>
      </c>
      <c r="I66" s="4">
        <v>0.23</v>
      </c>
      <c r="K66" s="4" cm="1">
        <f t="array" aca="1" ref="K66" ca="1">INDEX(INDIRECT(trust_rcrdq_table),(ROW()-ROW(INDIRECT(trust_rcrdq_cols))),MATCH(selected_rcrdq_name_xc,INDIRECT(trust_rcrdq_cols),0))</f>
        <v>0.94</v>
      </c>
      <c r="L66">
        <f ca="1">RANK(K66,K:K,0)+COUNTIF($K$2:K66,K66)-1</f>
        <v>85</v>
      </c>
      <c r="M66" cm="1">
        <f t="array" aca="1" ref="M66" ca="1">INDEX(INDIRECT(trust_rcrdq_table),(ROW()-ROW(INDIRECT(trust_rcrdq_cols))),MATCH(selected_rcrdq_denom_xc,INDIRECT(trust_rcrdq_cols),0))</f>
        <v>66</v>
      </c>
    </row>
    <row r="67" spans="1:13" x14ac:dyDescent="0.35">
      <c r="A67" t="s">
        <v>221</v>
      </c>
      <c r="B67" t="s">
        <v>222</v>
      </c>
      <c r="C67" t="s">
        <v>119</v>
      </c>
      <c r="D67" s="2">
        <v>27</v>
      </c>
      <c r="E67" s="4">
        <v>0.89</v>
      </c>
      <c r="F67" s="4">
        <v>0.7</v>
      </c>
      <c r="G67" s="4">
        <v>0.22</v>
      </c>
      <c r="H67" s="4">
        <v>0.85</v>
      </c>
      <c r="I67" s="4">
        <v>0.15</v>
      </c>
      <c r="K67" s="4" cm="1">
        <f t="array" aca="1" ref="K67" ca="1">INDEX(INDIRECT(trust_rcrdq_table),(ROW()-ROW(INDIRECT(trust_rcrdq_cols))),MATCH(selected_rcrdq_name_xc,INDIRECT(trust_rcrdq_cols),0))</f>
        <v>0.89</v>
      </c>
      <c r="L67">
        <f ca="1">RANK(K67,K:K,0)+COUNTIF($K$2:K67,K67)-1</f>
        <v>114</v>
      </c>
      <c r="M67" cm="1">
        <f t="array" aca="1" ref="M67" ca="1">INDEX(INDIRECT(trust_rcrdq_table),(ROW()-ROW(INDIRECT(trust_rcrdq_cols))),MATCH(selected_rcrdq_denom_xc,INDIRECT(trust_rcrdq_cols),0))</f>
        <v>27</v>
      </c>
    </row>
    <row r="68" spans="1:13" x14ac:dyDescent="0.35">
      <c r="A68" t="s">
        <v>499</v>
      </c>
      <c r="B68" t="s">
        <v>223</v>
      </c>
      <c r="C68" t="s">
        <v>124</v>
      </c>
      <c r="D68" s="2">
        <v>64</v>
      </c>
      <c r="E68" s="4">
        <v>0.97</v>
      </c>
      <c r="F68" s="4">
        <v>0.95</v>
      </c>
      <c r="G68" s="4">
        <v>0.8</v>
      </c>
      <c r="H68" s="4">
        <v>0.95</v>
      </c>
      <c r="I68" s="4">
        <v>0.08</v>
      </c>
      <c r="K68" s="4" cm="1">
        <f t="array" aca="1" ref="K68" ca="1">INDEX(INDIRECT(trust_rcrdq_table),(ROW()-ROW(INDIRECT(trust_rcrdq_cols))),MATCH(selected_rcrdq_name_xc,INDIRECT(trust_rcrdq_cols),0))</f>
        <v>0.97</v>
      </c>
      <c r="L68">
        <f ca="1">RANK(K68,K:K,0)+COUNTIF($K$2:K68,K68)-1</f>
        <v>50</v>
      </c>
      <c r="M68" cm="1">
        <f t="array" aca="1" ref="M68" ca="1">INDEX(INDIRECT(trust_rcrdq_table),(ROW()-ROW(INDIRECT(trust_rcrdq_cols))),MATCH(selected_rcrdq_denom_xc,INDIRECT(trust_rcrdq_cols),0))</f>
        <v>64</v>
      </c>
    </row>
    <row r="69" spans="1:13" x14ac:dyDescent="0.35">
      <c r="A69" t="s">
        <v>224</v>
      </c>
      <c r="B69" t="s">
        <v>225</v>
      </c>
      <c r="C69" t="s">
        <v>102</v>
      </c>
      <c r="D69" s="2">
        <v>152</v>
      </c>
      <c r="E69" s="4">
        <v>0.95</v>
      </c>
      <c r="F69" s="4">
        <v>0.74</v>
      </c>
      <c r="G69" s="4">
        <v>0.76</v>
      </c>
      <c r="H69" s="4">
        <v>0.98</v>
      </c>
      <c r="I69" s="4">
        <v>0.39</v>
      </c>
      <c r="K69" s="4" cm="1">
        <f t="array" aca="1" ref="K69" ca="1">INDEX(INDIRECT(trust_rcrdq_table),(ROW()-ROW(INDIRECT(trust_rcrdq_cols))),MATCH(selected_rcrdq_name_xc,INDIRECT(trust_rcrdq_cols),0))</f>
        <v>0.95</v>
      </c>
      <c r="L69">
        <f ca="1">RANK(K69,K:K,0)+COUNTIF($K$2:K69,K69)-1</f>
        <v>72</v>
      </c>
      <c r="M69" cm="1">
        <f t="array" aca="1" ref="M69" ca="1">INDEX(INDIRECT(trust_rcrdq_table),(ROW()-ROW(INDIRECT(trust_rcrdq_cols))),MATCH(selected_rcrdq_denom_xc,INDIRECT(trust_rcrdq_cols),0))</f>
        <v>152</v>
      </c>
    </row>
    <row r="70" spans="1:13" x14ac:dyDescent="0.35">
      <c r="A70" t="s">
        <v>226</v>
      </c>
      <c r="B70" t="s">
        <v>227</v>
      </c>
      <c r="C70" t="s">
        <v>98</v>
      </c>
      <c r="D70" s="2">
        <v>86</v>
      </c>
      <c r="E70" s="4">
        <v>0.98</v>
      </c>
      <c r="F70" s="4">
        <v>0.8</v>
      </c>
      <c r="G70" s="4">
        <v>0.19</v>
      </c>
      <c r="H70" s="4">
        <v>0.98</v>
      </c>
      <c r="I70" s="4">
        <v>0.15</v>
      </c>
      <c r="K70" s="4" cm="1">
        <f t="array" aca="1" ref="K70" ca="1">INDEX(INDIRECT(trust_rcrdq_table),(ROW()-ROW(INDIRECT(trust_rcrdq_cols))),MATCH(selected_rcrdq_name_xc,INDIRECT(trust_rcrdq_cols),0))</f>
        <v>0.98</v>
      </c>
      <c r="L70">
        <f ca="1">RANK(K70,K:K,0)+COUNTIF($K$2:K70,K70)-1</f>
        <v>37</v>
      </c>
      <c r="M70" cm="1">
        <f t="array" aca="1" ref="M70" ca="1">INDEX(INDIRECT(trust_rcrdq_table),(ROW()-ROW(INDIRECT(trust_rcrdq_cols))),MATCH(selected_rcrdq_denom_xc,INDIRECT(trust_rcrdq_cols),0))</f>
        <v>86</v>
      </c>
    </row>
    <row r="71" spans="1:13" x14ac:dyDescent="0.35">
      <c r="A71" t="s">
        <v>486</v>
      </c>
      <c r="B71" t="s">
        <v>249</v>
      </c>
      <c r="C71" t="s">
        <v>108</v>
      </c>
      <c r="D71" s="2">
        <v>170</v>
      </c>
      <c r="E71" s="4">
        <v>0.95</v>
      </c>
      <c r="F71" s="4">
        <v>0.75</v>
      </c>
      <c r="G71" s="4">
        <v>0.56000000000000005</v>
      </c>
      <c r="H71" s="4">
        <v>0.98</v>
      </c>
      <c r="I71" s="4">
        <v>0.45</v>
      </c>
      <c r="K71" s="4" cm="1">
        <f t="array" aca="1" ref="K71" ca="1">INDEX(INDIRECT(trust_rcrdq_table),(ROW()-ROW(INDIRECT(trust_rcrdq_cols))),MATCH(selected_rcrdq_name_xc,INDIRECT(trust_rcrdq_cols),0))</f>
        <v>0.95</v>
      </c>
      <c r="L71">
        <f ca="1">RANK(K71,K:K,0)+COUNTIF($K$2:K71,K71)-1</f>
        <v>73</v>
      </c>
      <c r="M71" cm="1">
        <f t="array" aca="1" ref="M71" ca="1">INDEX(INDIRECT(trust_rcrdq_table),(ROW()-ROW(INDIRECT(trust_rcrdq_cols))),MATCH(selected_rcrdq_denom_xc,INDIRECT(trust_rcrdq_cols),0))</f>
        <v>170</v>
      </c>
    </row>
    <row r="72" spans="1:13" x14ac:dyDescent="0.35">
      <c r="A72" t="s">
        <v>228</v>
      </c>
      <c r="B72" t="s">
        <v>229</v>
      </c>
      <c r="C72" t="s">
        <v>469</v>
      </c>
      <c r="D72" s="2">
        <v>28</v>
      </c>
      <c r="E72" s="4">
        <v>1</v>
      </c>
      <c r="F72" s="4">
        <v>0.96</v>
      </c>
      <c r="G72" s="4">
        <v>0.86</v>
      </c>
      <c r="H72" s="4">
        <v>1</v>
      </c>
      <c r="I72" s="4">
        <v>0.54</v>
      </c>
      <c r="K72" s="4" cm="1">
        <f t="array" aca="1" ref="K72" ca="1">INDEX(INDIRECT(trust_rcrdq_table),(ROW()-ROW(INDIRECT(trust_rcrdq_cols))),MATCH(selected_rcrdq_name_xc,INDIRECT(trust_rcrdq_cols),0))</f>
        <v>1</v>
      </c>
      <c r="L72">
        <f ca="1">RANK(K72,K:K,0)+COUNTIF($K$2:K72,K72)-1</f>
        <v>8</v>
      </c>
      <c r="M72" cm="1">
        <f t="array" aca="1" ref="M72" ca="1">INDEX(INDIRECT(trust_rcrdq_table),(ROW()-ROW(INDIRECT(trust_rcrdq_cols))),MATCH(selected_rcrdq_denom_xc,INDIRECT(trust_rcrdq_cols),0))</f>
        <v>28</v>
      </c>
    </row>
    <row r="73" spans="1:13" x14ac:dyDescent="0.35">
      <c r="A73" t="s">
        <v>230</v>
      </c>
      <c r="B73" t="s">
        <v>231</v>
      </c>
      <c r="C73" t="s">
        <v>124</v>
      </c>
      <c r="D73" s="2">
        <v>107</v>
      </c>
      <c r="E73" s="4">
        <v>0.96</v>
      </c>
      <c r="F73" s="4">
        <v>0.79</v>
      </c>
      <c r="G73" s="4">
        <v>0.69</v>
      </c>
      <c r="H73" s="4">
        <v>0.97</v>
      </c>
      <c r="I73" s="4">
        <v>0.31</v>
      </c>
      <c r="K73" s="4" cm="1">
        <f t="array" aca="1" ref="K73" ca="1">INDEX(INDIRECT(trust_rcrdq_table),(ROW()-ROW(INDIRECT(trust_rcrdq_cols))),MATCH(selected_rcrdq_name_xc,INDIRECT(trust_rcrdq_cols),0))</f>
        <v>0.96</v>
      </c>
      <c r="L73">
        <f ca="1">RANK(K73,K:K,0)+COUNTIF($K$2:K73,K73)-1</f>
        <v>58</v>
      </c>
      <c r="M73" cm="1">
        <f t="array" aca="1" ref="M73" ca="1">INDEX(INDIRECT(trust_rcrdq_table),(ROW()-ROW(INDIRECT(trust_rcrdq_cols))),MATCH(selected_rcrdq_denom_xc,INDIRECT(trust_rcrdq_cols),0))</f>
        <v>107</v>
      </c>
    </row>
    <row r="74" spans="1:13" x14ac:dyDescent="0.35">
      <c r="A74" t="s">
        <v>232</v>
      </c>
      <c r="B74" t="s">
        <v>233</v>
      </c>
      <c r="C74" t="s">
        <v>98</v>
      </c>
      <c r="D74" s="2">
        <v>248</v>
      </c>
      <c r="E74" s="4">
        <v>0.9</v>
      </c>
      <c r="F74" s="4">
        <v>0.72</v>
      </c>
      <c r="G74" s="4">
        <v>0.83</v>
      </c>
      <c r="H74" s="4">
        <v>0.96</v>
      </c>
      <c r="I74" s="4">
        <v>0.45</v>
      </c>
      <c r="K74" s="4" cm="1">
        <f t="array" aca="1" ref="K74" ca="1">INDEX(INDIRECT(trust_rcrdq_table),(ROW()-ROW(INDIRECT(trust_rcrdq_cols))),MATCH(selected_rcrdq_name_xc,INDIRECT(trust_rcrdq_cols),0))</f>
        <v>0.9</v>
      </c>
      <c r="L74">
        <f ca="1">RANK(K74,K:K,0)+COUNTIF($K$2:K74,K74)-1</f>
        <v>109</v>
      </c>
      <c r="M74" cm="1">
        <f t="array" aca="1" ref="M74" ca="1">INDEX(INDIRECT(trust_rcrdq_table),(ROW()-ROW(INDIRECT(trust_rcrdq_cols))),MATCH(selected_rcrdq_denom_xc,INDIRECT(trust_rcrdq_cols),0))</f>
        <v>248</v>
      </c>
    </row>
    <row r="75" spans="1:13" x14ac:dyDescent="0.35">
      <c r="A75" t="s">
        <v>234</v>
      </c>
      <c r="B75" t="s">
        <v>235</v>
      </c>
      <c r="C75" t="s">
        <v>122</v>
      </c>
      <c r="D75" s="2">
        <v>156</v>
      </c>
      <c r="E75" s="4">
        <v>0.86</v>
      </c>
      <c r="F75" s="4">
        <v>0.78</v>
      </c>
      <c r="G75" s="4">
        <v>0.34</v>
      </c>
      <c r="H75" s="4">
        <v>0.91</v>
      </c>
      <c r="I75" s="4">
        <v>0.31</v>
      </c>
      <c r="K75" s="4" cm="1">
        <f t="array" aca="1" ref="K75" ca="1">INDEX(INDIRECT(trust_rcrdq_table),(ROW()-ROW(INDIRECT(trust_rcrdq_cols))),MATCH(selected_rcrdq_name_xc,INDIRECT(trust_rcrdq_cols),0))</f>
        <v>0.86</v>
      </c>
      <c r="L75">
        <f ca="1">RANK(K75,K:K,0)+COUNTIF($K$2:K75,K75)-1</f>
        <v>120</v>
      </c>
      <c r="M75" cm="1">
        <f t="array" aca="1" ref="M75" ca="1">INDEX(INDIRECT(trust_rcrdq_table),(ROW()-ROW(INDIRECT(trust_rcrdq_cols))),MATCH(selected_rcrdq_denom_xc,INDIRECT(trust_rcrdq_cols),0))</f>
        <v>156</v>
      </c>
    </row>
    <row r="76" spans="1:13" x14ac:dyDescent="0.35">
      <c r="A76" t="s">
        <v>478</v>
      </c>
      <c r="B76" t="s">
        <v>238</v>
      </c>
      <c r="C76" t="s">
        <v>142</v>
      </c>
      <c r="D76" s="2">
        <v>205</v>
      </c>
      <c r="E76" s="4">
        <v>0.85</v>
      </c>
      <c r="F76" s="4">
        <v>0.84</v>
      </c>
      <c r="G76" s="4">
        <v>0.94</v>
      </c>
      <c r="H76" s="4">
        <v>0.79</v>
      </c>
      <c r="I76" s="4">
        <v>0.44</v>
      </c>
      <c r="K76" s="4" cm="1">
        <f t="array" aca="1" ref="K76" ca="1">INDEX(INDIRECT(trust_rcrdq_table),(ROW()-ROW(INDIRECT(trust_rcrdq_cols))),MATCH(selected_rcrdq_name_xc,INDIRECT(trust_rcrdq_cols),0))</f>
        <v>0.85</v>
      </c>
      <c r="L76">
        <f ca="1">RANK(K76,K:K,0)+COUNTIF($K$2:K76,K76)-1</f>
        <v>125</v>
      </c>
      <c r="M76" cm="1">
        <f t="array" aca="1" ref="M76" ca="1">INDEX(INDIRECT(trust_rcrdq_table),(ROW()-ROW(INDIRECT(trust_rcrdq_cols))),MATCH(selected_rcrdq_denom_xc,INDIRECT(trust_rcrdq_cols),0))</f>
        <v>205</v>
      </c>
    </row>
    <row r="77" spans="1:13" x14ac:dyDescent="0.35">
      <c r="A77" t="s">
        <v>491</v>
      </c>
      <c r="B77" t="s">
        <v>281</v>
      </c>
      <c r="C77" t="s">
        <v>105</v>
      </c>
      <c r="D77" s="2">
        <v>65</v>
      </c>
      <c r="E77" s="4">
        <v>0.98</v>
      </c>
      <c r="F77" s="4">
        <v>0.75</v>
      </c>
      <c r="G77" s="4">
        <v>0.08</v>
      </c>
      <c r="H77" s="4">
        <v>0.94</v>
      </c>
      <c r="I77" s="4">
        <v>0.03</v>
      </c>
      <c r="K77" s="4" cm="1">
        <f t="array" aca="1" ref="K77" ca="1">INDEX(INDIRECT(trust_rcrdq_table),(ROW()-ROW(INDIRECT(trust_rcrdq_cols))),MATCH(selected_rcrdq_name_xc,INDIRECT(trust_rcrdq_cols),0))</f>
        <v>0.98</v>
      </c>
      <c r="L77">
        <f ca="1">RANK(K77,K:K,0)+COUNTIF($K$2:K77,K77)-1</f>
        <v>38</v>
      </c>
      <c r="M77" cm="1">
        <f t="array" aca="1" ref="M77" ca="1">INDEX(INDIRECT(trust_rcrdq_table),(ROW()-ROW(INDIRECT(trust_rcrdq_cols))),MATCH(selected_rcrdq_denom_xc,INDIRECT(trust_rcrdq_cols),0))</f>
        <v>65</v>
      </c>
    </row>
    <row r="78" spans="1:13" x14ac:dyDescent="0.35">
      <c r="A78" t="s">
        <v>471</v>
      </c>
      <c r="B78" t="s">
        <v>282</v>
      </c>
      <c r="C78" t="s">
        <v>102</v>
      </c>
      <c r="D78" s="2">
        <v>57</v>
      </c>
      <c r="E78" s="4">
        <v>0.98</v>
      </c>
      <c r="F78" s="4">
        <v>0.6</v>
      </c>
      <c r="G78" s="4">
        <v>0.75</v>
      </c>
      <c r="H78" s="4">
        <v>0.98</v>
      </c>
      <c r="I78" s="4">
        <v>0.54</v>
      </c>
      <c r="K78" s="4" cm="1">
        <f t="array" aca="1" ref="K78" ca="1">INDEX(INDIRECT(trust_rcrdq_table),(ROW()-ROW(INDIRECT(trust_rcrdq_cols))),MATCH(selected_rcrdq_name_xc,INDIRECT(trust_rcrdq_cols),0))</f>
        <v>0.98</v>
      </c>
      <c r="L78">
        <f ca="1">RANK(K78,K:K,0)+COUNTIF($K$2:K78,K78)-1</f>
        <v>39</v>
      </c>
      <c r="M78" cm="1">
        <f t="array" aca="1" ref="M78" ca="1">INDEX(INDIRECT(trust_rcrdq_table),(ROW()-ROW(INDIRECT(trust_rcrdq_cols))),MATCH(selected_rcrdq_denom_xc,INDIRECT(trust_rcrdq_cols),0))</f>
        <v>57</v>
      </c>
    </row>
    <row r="79" spans="1:13" x14ac:dyDescent="0.35">
      <c r="A79" t="s">
        <v>489</v>
      </c>
      <c r="B79" t="s">
        <v>510</v>
      </c>
      <c r="C79" t="s">
        <v>97</v>
      </c>
      <c r="D79" s="2">
        <v>8</v>
      </c>
      <c r="E79" s="4">
        <v>0.88</v>
      </c>
      <c r="F79" s="4">
        <v>0.88</v>
      </c>
      <c r="G79" s="4">
        <v>0.63</v>
      </c>
      <c r="H79" s="4">
        <v>1</v>
      </c>
      <c r="I79" s="4">
        <v>0.25</v>
      </c>
      <c r="K79" s="4" cm="1">
        <f t="array" aca="1" ref="K79" ca="1">INDEX(INDIRECT(trust_rcrdq_table),(ROW()-ROW(INDIRECT(trust_rcrdq_cols))),MATCH(selected_rcrdq_name_xc,INDIRECT(trust_rcrdq_cols),0))</f>
        <v>0.88</v>
      </c>
      <c r="L79">
        <f ca="1">RANK(K79,K:K,0)+COUNTIF($K$2:K79,K79)-1</f>
        <v>118</v>
      </c>
      <c r="M79" cm="1">
        <f t="array" aca="1" ref="M79" ca="1">INDEX(INDIRECT(trust_rcrdq_table),(ROW()-ROW(INDIRECT(trust_rcrdq_cols))),MATCH(selected_rcrdq_denom_xc,INDIRECT(trust_rcrdq_cols),0))</f>
        <v>8</v>
      </c>
    </row>
    <row r="80" spans="1:13" x14ac:dyDescent="0.35">
      <c r="A80" t="s">
        <v>484</v>
      </c>
      <c r="B80" t="s">
        <v>508</v>
      </c>
      <c r="C80" t="s">
        <v>145</v>
      </c>
      <c r="D80" s="2">
        <v>4</v>
      </c>
      <c r="E80" s="4">
        <v>1</v>
      </c>
      <c r="F80" s="4">
        <v>0.75</v>
      </c>
      <c r="G80" s="4">
        <v>0.75</v>
      </c>
      <c r="H80" s="4">
        <v>1</v>
      </c>
      <c r="I80" s="4">
        <v>0.25</v>
      </c>
      <c r="K80" s="4" cm="1">
        <f t="array" aca="1" ref="K80" ca="1">INDEX(INDIRECT(trust_rcrdq_table),(ROW()-ROW(INDIRECT(trust_rcrdq_cols))),MATCH(selected_rcrdq_name_xc,INDIRECT(trust_rcrdq_cols),0))</f>
        <v>1</v>
      </c>
      <c r="L80">
        <f ca="1">RANK(K80,K:K,0)+COUNTIF($K$2:K80,K80)-1</f>
        <v>9</v>
      </c>
      <c r="M80" cm="1">
        <f t="array" aca="1" ref="M80" ca="1">INDEX(INDIRECT(trust_rcrdq_table),(ROW()-ROW(INDIRECT(trust_rcrdq_cols))),MATCH(selected_rcrdq_denom_xc,INDIRECT(trust_rcrdq_cols),0))</f>
        <v>4</v>
      </c>
    </row>
    <row r="81" spans="1:13" x14ac:dyDescent="0.35">
      <c r="A81" t="s">
        <v>475</v>
      </c>
      <c r="B81" t="s">
        <v>283</v>
      </c>
      <c r="C81" t="s">
        <v>104</v>
      </c>
      <c r="D81" s="2">
        <v>53</v>
      </c>
      <c r="E81" s="4">
        <v>0.98</v>
      </c>
      <c r="F81" s="4">
        <v>0.57999999999999996</v>
      </c>
      <c r="G81" s="4">
        <v>0.74</v>
      </c>
      <c r="H81" s="4">
        <v>0.96</v>
      </c>
      <c r="I81" s="4">
        <v>0.02</v>
      </c>
      <c r="K81" s="4" cm="1">
        <f t="array" aca="1" ref="K81" ca="1">INDEX(INDIRECT(trust_rcrdq_table),(ROW()-ROW(INDIRECT(trust_rcrdq_cols))),MATCH(selected_rcrdq_name_xc,INDIRECT(trust_rcrdq_cols),0))</f>
        <v>0.98</v>
      </c>
      <c r="L81">
        <f ca="1">RANK(K81,K:K,0)+COUNTIF($K$2:K81,K81)-1</f>
        <v>40</v>
      </c>
      <c r="M81" cm="1">
        <f t="array" aca="1" ref="M81" ca="1">INDEX(INDIRECT(trust_rcrdq_table),(ROW()-ROW(INDIRECT(trust_rcrdq_cols))),MATCH(selected_rcrdq_denom_xc,INDIRECT(trust_rcrdq_cols),0))</f>
        <v>53</v>
      </c>
    </row>
    <row r="82" spans="1:13" x14ac:dyDescent="0.35">
      <c r="A82" t="s">
        <v>239</v>
      </c>
      <c r="B82" t="s">
        <v>240</v>
      </c>
      <c r="C82" t="s">
        <v>122</v>
      </c>
      <c r="D82" s="2">
        <v>134</v>
      </c>
      <c r="E82" s="4">
        <v>0.98</v>
      </c>
      <c r="F82" s="4">
        <v>0.87</v>
      </c>
      <c r="G82" s="4">
        <v>0.31</v>
      </c>
      <c r="H82" s="4">
        <v>0.99</v>
      </c>
      <c r="I82" s="4">
        <v>0.54</v>
      </c>
      <c r="K82" s="4" cm="1">
        <f t="array" aca="1" ref="K82" ca="1">INDEX(INDIRECT(trust_rcrdq_table),(ROW()-ROW(INDIRECT(trust_rcrdq_cols))),MATCH(selected_rcrdq_name_xc,INDIRECT(trust_rcrdq_cols),0))</f>
        <v>0.98</v>
      </c>
      <c r="L82">
        <f ca="1">RANK(K82,K:K,0)+COUNTIF($K$2:K82,K82)-1</f>
        <v>41</v>
      </c>
      <c r="M82" cm="1">
        <f t="array" aca="1" ref="M82" ca="1">INDEX(INDIRECT(trust_rcrdq_table),(ROW()-ROW(INDIRECT(trust_rcrdq_cols))),MATCH(selected_rcrdq_denom_xc,INDIRECT(trust_rcrdq_cols),0))</f>
        <v>134</v>
      </c>
    </row>
    <row r="83" spans="1:13" x14ac:dyDescent="0.35">
      <c r="A83" t="s">
        <v>241</v>
      </c>
      <c r="B83" t="s">
        <v>242</v>
      </c>
      <c r="C83" t="s">
        <v>127</v>
      </c>
      <c r="D83" s="2">
        <v>131</v>
      </c>
      <c r="E83" s="4">
        <v>0.99</v>
      </c>
      <c r="F83" s="4">
        <v>0.74</v>
      </c>
      <c r="G83" s="4">
        <v>0.69</v>
      </c>
      <c r="H83" s="4">
        <v>0.98</v>
      </c>
      <c r="I83" s="4">
        <v>0.46</v>
      </c>
      <c r="K83" s="4" cm="1">
        <f t="array" aca="1" ref="K83" ca="1">INDEX(INDIRECT(trust_rcrdq_table),(ROW()-ROW(INDIRECT(trust_rcrdq_cols))),MATCH(selected_rcrdq_name_xc,INDIRECT(trust_rcrdq_cols),0))</f>
        <v>0.99</v>
      </c>
      <c r="L83">
        <f ca="1">RANK(K83,K:K,0)+COUNTIF($K$2:K83,K83)-1</f>
        <v>23</v>
      </c>
      <c r="M83" cm="1">
        <f t="array" aca="1" ref="M83" ca="1">INDEX(INDIRECT(trust_rcrdq_table),(ROW()-ROW(INDIRECT(trust_rcrdq_cols))),MATCH(selected_rcrdq_denom_xc,INDIRECT(trust_rcrdq_cols),0))</f>
        <v>131</v>
      </c>
    </row>
    <row r="84" spans="1:13" x14ac:dyDescent="0.35">
      <c r="A84" t="s">
        <v>477</v>
      </c>
      <c r="B84" t="s">
        <v>243</v>
      </c>
      <c r="C84" t="s">
        <v>127</v>
      </c>
      <c r="D84" s="2">
        <v>137</v>
      </c>
      <c r="E84" s="4">
        <v>0.85</v>
      </c>
      <c r="F84" s="4">
        <v>0.09</v>
      </c>
      <c r="G84" s="4">
        <v>0.01</v>
      </c>
      <c r="H84" s="4">
        <v>0.85</v>
      </c>
      <c r="I84" s="4">
        <v>0.03</v>
      </c>
      <c r="K84" s="4" cm="1">
        <f t="array" aca="1" ref="K84" ca="1">INDEX(INDIRECT(trust_rcrdq_table),(ROW()-ROW(INDIRECT(trust_rcrdq_cols))),MATCH(selected_rcrdq_name_xc,INDIRECT(trust_rcrdq_cols),0))</f>
        <v>0.85</v>
      </c>
      <c r="L84">
        <f ca="1">RANK(K84,K:K,0)+COUNTIF($K$2:K84,K84)-1</f>
        <v>126</v>
      </c>
      <c r="M84" cm="1">
        <f t="array" aca="1" ref="M84" ca="1">INDEX(INDIRECT(trust_rcrdq_table),(ROW()-ROW(INDIRECT(trust_rcrdq_cols))),MATCH(selected_rcrdq_denom_xc,INDIRECT(trust_rcrdq_cols),0))</f>
        <v>137</v>
      </c>
    </row>
    <row r="85" spans="1:13" x14ac:dyDescent="0.35">
      <c r="A85" t="s">
        <v>244</v>
      </c>
      <c r="B85" t="s">
        <v>245</v>
      </c>
      <c r="C85" t="s">
        <v>119</v>
      </c>
      <c r="D85" s="2">
        <v>174</v>
      </c>
      <c r="E85" s="4">
        <v>0.97</v>
      </c>
      <c r="F85" s="4">
        <v>0.79</v>
      </c>
      <c r="G85" s="4">
        <v>0.72</v>
      </c>
      <c r="H85" s="4">
        <v>0.95</v>
      </c>
      <c r="I85" s="4">
        <v>0.33</v>
      </c>
      <c r="K85" s="4" cm="1">
        <f t="array" aca="1" ref="K85" ca="1">INDEX(INDIRECT(trust_rcrdq_table),(ROW()-ROW(INDIRECT(trust_rcrdq_cols))),MATCH(selected_rcrdq_name_xc,INDIRECT(trust_rcrdq_cols),0))</f>
        <v>0.97</v>
      </c>
      <c r="L85">
        <f ca="1">RANK(K85,K:K,0)+COUNTIF($K$2:K85,K85)-1</f>
        <v>51</v>
      </c>
      <c r="M85" cm="1">
        <f t="array" aca="1" ref="M85" ca="1">INDEX(INDIRECT(trust_rcrdq_table),(ROW()-ROW(INDIRECT(trust_rcrdq_cols))),MATCH(selected_rcrdq_denom_xc,INDIRECT(trust_rcrdq_cols),0))</f>
        <v>174</v>
      </c>
    </row>
    <row r="86" spans="1:13" x14ac:dyDescent="0.35">
      <c r="A86" t="s">
        <v>490</v>
      </c>
      <c r="B86" t="s">
        <v>284</v>
      </c>
      <c r="C86" t="s">
        <v>462</v>
      </c>
      <c r="D86" s="2">
        <v>42</v>
      </c>
      <c r="E86" s="4">
        <v>1</v>
      </c>
      <c r="F86" s="4">
        <v>0.5</v>
      </c>
      <c r="G86" s="4">
        <v>0.38</v>
      </c>
      <c r="H86" s="4">
        <v>0.9</v>
      </c>
      <c r="I86" s="4">
        <v>0.4</v>
      </c>
      <c r="K86" s="4" cm="1">
        <f t="array" aca="1" ref="K86" ca="1">INDEX(INDIRECT(trust_rcrdq_table),(ROW()-ROW(INDIRECT(trust_rcrdq_cols))),MATCH(selected_rcrdq_name_xc,INDIRECT(trust_rcrdq_cols),0))</f>
        <v>1</v>
      </c>
      <c r="L86">
        <f ca="1">RANK(K86,K:K,0)+COUNTIF($K$2:K86,K86)-1</f>
        <v>10</v>
      </c>
      <c r="M86" cm="1">
        <f t="array" aca="1" ref="M86" ca="1">INDEX(INDIRECT(trust_rcrdq_table),(ROW()-ROW(INDIRECT(trust_rcrdq_cols))),MATCH(selected_rcrdq_denom_xc,INDIRECT(trust_rcrdq_cols),0))</f>
        <v>42</v>
      </c>
    </row>
    <row r="87" spans="1:13" x14ac:dyDescent="0.35">
      <c r="A87" t="s">
        <v>465</v>
      </c>
      <c r="B87" t="s">
        <v>506</v>
      </c>
      <c r="C87" t="s">
        <v>119</v>
      </c>
      <c r="D87" s="2">
        <v>41</v>
      </c>
      <c r="E87" s="4">
        <v>0.95</v>
      </c>
      <c r="F87" s="4">
        <v>0.28999999999999998</v>
      </c>
      <c r="G87" s="4">
        <v>0.66</v>
      </c>
      <c r="H87" s="4">
        <v>1</v>
      </c>
      <c r="I87" s="4">
        <v>0.41</v>
      </c>
      <c r="K87" s="4" cm="1">
        <f t="array" aca="1" ref="K87" ca="1">INDEX(INDIRECT(trust_rcrdq_table),(ROW()-ROW(INDIRECT(trust_rcrdq_cols))),MATCH(selected_rcrdq_name_xc,INDIRECT(trust_rcrdq_cols),0))</f>
        <v>0.95</v>
      </c>
      <c r="L87">
        <f ca="1">RANK(K87,K:K,0)+COUNTIF($K$2:K87,K87)-1</f>
        <v>74</v>
      </c>
      <c r="M87" cm="1">
        <f t="array" aca="1" ref="M87" ca="1">INDEX(INDIRECT(trust_rcrdq_table),(ROW()-ROW(INDIRECT(trust_rcrdq_cols))),MATCH(selected_rcrdq_denom_xc,INDIRECT(trust_rcrdq_cols),0))</f>
        <v>41</v>
      </c>
    </row>
    <row r="88" spans="1:13" x14ac:dyDescent="0.35">
      <c r="A88" t="s">
        <v>493</v>
      </c>
      <c r="B88" t="s">
        <v>511</v>
      </c>
      <c r="C88" t="s">
        <v>145</v>
      </c>
      <c r="D88" s="2">
        <v>6</v>
      </c>
      <c r="E88" s="4">
        <v>1</v>
      </c>
      <c r="F88" s="4">
        <v>0.83</v>
      </c>
      <c r="G88" s="4">
        <v>0.67</v>
      </c>
      <c r="H88" s="4">
        <v>1</v>
      </c>
      <c r="I88" s="4">
        <v>0.5</v>
      </c>
      <c r="K88" s="4" cm="1">
        <f t="array" aca="1" ref="K88" ca="1">INDEX(INDIRECT(trust_rcrdq_table),(ROW()-ROW(INDIRECT(trust_rcrdq_cols))),MATCH(selected_rcrdq_name_xc,INDIRECT(trust_rcrdq_cols),0))</f>
        <v>1</v>
      </c>
      <c r="L88">
        <f ca="1">RANK(K88,K:K,0)+COUNTIF($K$2:K88,K88)-1</f>
        <v>11</v>
      </c>
      <c r="M88" cm="1">
        <f t="array" aca="1" ref="M88" ca="1">INDEX(INDIRECT(trust_rcrdq_table),(ROW()-ROW(INDIRECT(trust_rcrdq_cols))),MATCH(selected_rcrdq_denom_xc,INDIRECT(trust_rcrdq_cols),0))</f>
        <v>6</v>
      </c>
    </row>
    <row r="89" spans="1:13" x14ac:dyDescent="0.35">
      <c r="A89" t="s">
        <v>476</v>
      </c>
      <c r="B89" t="s">
        <v>236</v>
      </c>
      <c r="C89" t="s">
        <v>102</v>
      </c>
      <c r="D89" s="2">
        <v>2</v>
      </c>
      <c r="E89" s="4">
        <v>1</v>
      </c>
      <c r="F89" s="4">
        <v>1</v>
      </c>
      <c r="G89" s="4">
        <v>0.5</v>
      </c>
      <c r="H89" s="4">
        <v>1</v>
      </c>
      <c r="I89" s="4">
        <v>0.5</v>
      </c>
      <c r="K89" s="4" cm="1">
        <f t="array" aca="1" ref="K89" ca="1">INDEX(INDIRECT(trust_rcrdq_table),(ROW()-ROW(INDIRECT(trust_rcrdq_cols))),MATCH(selected_rcrdq_name_xc,INDIRECT(trust_rcrdq_cols),0))</f>
        <v>1</v>
      </c>
      <c r="L89">
        <f ca="1">RANK(K89,K:K,0)+COUNTIF($K$2:K89,K89)-1</f>
        <v>12</v>
      </c>
      <c r="M89" cm="1">
        <f t="array" aca="1" ref="M89" ca="1">INDEX(INDIRECT(trust_rcrdq_table),(ROW()-ROW(INDIRECT(trust_rcrdq_cols))),MATCH(selected_rcrdq_denom_xc,INDIRECT(trust_rcrdq_cols),0))</f>
        <v>2</v>
      </c>
    </row>
    <row r="90" spans="1:13" x14ac:dyDescent="0.35">
      <c r="A90" t="s">
        <v>246</v>
      </c>
      <c r="B90" t="s">
        <v>247</v>
      </c>
      <c r="C90" t="s">
        <v>97</v>
      </c>
      <c r="D90" s="2">
        <v>63</v>
      </c>
      <c r="E90" s="4">
        <v>0.92</v>
      </c>
      <c r="F90" s="4">
        <v>0.6</v>
      </c>
      <c r="G90" s="4">
        <v>0.83</v>
      </c>
      <c r="H90" s="4">
        <v>0.94</v>
      </c>
      <c r="I90" s="4">
        <v>0.78</v>
      </c>
      <c r="K90" s="4" cm="1">
        <f t="array" aca="1" ref="K90" ca="1">INDEX(INDIRECT(trust_rcrdq_table),(ROW()-ROW(INDIRECT(trust_rcrdq_cols))),MATCH(selected_rcrdq_name_xc,INDIRECT(trust_rcrdq_cols),0))</f>
        <v>0.92</v>
      </c>
      <c r="L90">
        <f ca="1">RANK(K90,K:K,0)+COUNTIF($K$2:K90,K90)-1</f>
        <v>98</v>
      </c>
      <c r="M90" cm="1">
        <f t="array" aca="1" ref="M90" ca="1">INDEX(INDIRECT(trust_rcrdq_table),(ROW()-ROW(INDIRECT(trust_rcrdq_cols))),MATCH(selected_rcrdq_denom_xc,INDIRECT(trust_rcrdq_cols),0))</f>
        <v>63</v>
      </c>
    </row>
    <row r="91" spans="1:13" x14ac:dyDescent="0.35">
      <c r="A91" t="s">
        <v>472</v>
      </c>
      <c r="B91" t="s">
        <v>248</v>
      </c>
      <c r="C91" t="s">
        <v>464</v>
      </c>
      <c r="D91" s="2">
        <v>122</v>
      </c>
      <c r="E91" s="4">
        <v>0.93</v>
      </c>
      <c r="F91" s="4">
        <v>0.66</v>
      </c>
      <c r="G91" s="4">
        <v>0.44</v>
      </c>
      <c r="H91" s="4">
        <v>0.98</v>
      </c>
      <c r="I91" s="4">
        <v>0.22</v>
      </c>
      <c r="K91" s="4" cm="1">
        <f t="array" aca="1" ref="K91" ca="1">INDEX(INDIRECT(trust_rcrdq_table),(ROW()-ROW(INDIRECT(trust_rcrdq_cols))),MATCH(selected_rcrdq_name_xc,INDIRECT(trust_rcrdq_cols),0))</f>
        <v>0.93</v>
      </c>
      <c r="L91">
        <f ca="1">RANK(K91,K:K,0)+COUNTIF($K$2:K91,K91)-1</f>
        <v>94</v>
      </c>
      <c r="M91" cm="1">
        <f t="array" aca="1" ref="M91" ca="1">INDEX(INDIRECT(trust_rcrdq_table),(ROW()-ROW(INDIRECT(trust_rcrdq_cols))),MATCH(selected_rcrdq_denom_xc,INDIRECT(trust_rcrdq_cols),0))</f>
        <v>122</v>
      </c>
    </row>
    <row r="92" spans="1:13" x14ac:dyDescent="0.35">
      <c r="A92" t="s">
        <v>485</v>
      </c>
      <c r="B92" t="s">
        <v>285</v>
      </c>
      <c r="C92" t="s">
        <v>145</v>
      </c>
      <c r="D92" s="2">
        <v>106</v>
      </c>
      <c r="E92" s="4">
        <v>0.96</v>
      </c>
      <c r="F92" s="4">
        <v>0.82</v>
      </c>
      <c r="G92" s="4">
        <v>0.94</v>
      </c>
      <c r="H92" s="4">
        <v>0.99</v>
      </c>
      <c r="I92" s="4">
        <v>0.46</v>
      </c>
      <c r="K92" s="4" cm="1">
        <f t="array" aca="1" ref="K92" ca="1">INDEX(INDIRECT(trust_rcrdq_table),(ROW()-ROW(INDIRECT(trust_rcrdq_cols))),MATCH(selected_rcrdq_name_xc,INDIRECT(trust_rcrdq_cols),0))</f>
        <v>0.96</v>
      </c>
      <c r="L92">
        <f ca="1">RANK(K92,K:K,0)+COUNTIF($K$2:K92,K92)-1</f>
        <v>59</v>
      </c>
      <c r="M92" cm="1">
        <f t="array" aca="1" ref="M92" ca="1">INDEX(INDIRECT(trust_rcrdq_table),(ROW()-ROW(INDIRECT(trust_rcrdq_cols))),MATCH(selected_rcrdq_denom_xc,INDIRECT(trust_rcrdq_cols),0))</f>
        <v>106</v>
      </c>
    </row>
    <row r="93" spans="1:13" x14ac:dyDescent="0.35">
      <c r="A93" t="s">
        <v>250</v>
      </c>
      <c r="B93" t="s">
        <v>251</v>
      </c>
      <c r="C93" t="s">
        <v>464</v>
      </c>
      <c r="D93" s="2">
        <v>54</v>
      </c>
      <c r="E93" s="4">
        <v>0.85</v>
      </c>
      <c r="F93" s="4">
        <v>0.83</v>
      </c>
      <c r="G93" s="4">
        <v>0.59</v>
      </c>
      <c r="H93" s="4">
        <v>0.96</v>
      </c>
      <c r="I93" s="4">
        <v>0.46</v>
      </c>
      <c r="K93" s="4" cm="1">
        <f t="array" aca="1" ref="K93" ca="1">INDEX(INDIRECT(trust_rcrdq_table),(ROW()-ROW(INDIRECT(trust_rcrdq_cols))),MATCH(selected_rcrdq_name_xc,INDIRECT(trust_rcrdq_cols),0))</f>
        <v>0.85</v>
      </c>
      <c r="L93">
        <f ca="1">RANK(K93,K:K,0)+COUNTIF($K$2:K93,K93)-1</f>
        <v>127</v>
      </c>
      <c r="M93" cm="1">
        <f t="array" aca="1" ref="M93" ca="1">INDEX(INDIRECT(trust_rcrdq_table),(ROW()-ROW(INDIRECT(trust_rcrdq_cols))),MATCH(selected_rcrdq_denom_xc,INDIRECT(trust_rcrdq_cols),0))</f>
        <v>54</v>
      </c>
    </row>
    <row r="94" spans="1:13" x14ac:dyDescent="0.35">
      <c r="A94" t="s">
        <v>252</v>
      </c>
      <c r="B94" t="s">
        <v>253</v>
      </c>
      <c r="C94" t="s">
        <v>145</v>
      </c>
      <c r="D94" s="2">
        <v>87</v>
      </c>
      <c r="E94" s="4">
        <v>0.98</v>
      </c>
      <c r="F94" s="4">
        <v>0.87</v>
      </c>
      <c r="G94" s="4">
        <v>0.6</v>
      </c>
      <c r="H94" s="4">
        <v>1</v>
      </c>
      <c r="I94" s="4">
        <v>0.32</v>
      </c>
      <c r="K94" s="4" cm="1">
        <f t="array" aca="1" ref="K94" ca="1">INDEX(INDIRECT(trust_rcrdq_table),(ROW()-ROW(INDIRECT(trust_rcrdq_cols))),MATCH(selected_rcrdq_name_xc,INDIRECT(trust_rcrdq_cols),0))</f>
        <v>0.98</v>
      </c>
      <c r="L94">
        <f ca="1">RANK(K94,K:K,0)+COUNTIF($K$2:K94,K94)-1</f>
        <v>42</v>
      </c>
      <c r="M94" cm="1">
        <f t="array" aca="1" ref="M94" ca="1">INDEX(INDIRECT(trust_rcrdq_table),(ROW()-ROW(INDIRECT(trust_rcrdq_cols))),MATCH(selected_rcrdq_denom_xc,INDIRECT(trust_rcrdq_cols),0))</f>
        <v>87</v>
      </c>
    </row>
    <row r="95" spans="1:13" x14ac:dyDescent="0.35">
      <c r="A95" t="s">
        <v>254</v>
      </c>
      <c r="B95" t="s">
        <v>255</v>
      </c>
      <c r="C95" t="s">
        <v>104</v>
      </c>
      <c r="D95" s="2">
        <v>127</v>
      </c>
      <c r="E95" s="4">
        <v>0.91</v>
      </c>
      <c r="F95" s="4">
        <v>0.12</v>
      </c>
      <c r="G95" s="4">
        <v>0.24</v>
      </c>
      <c r="H95" s="4">
        <v>0.94</v>
      </c>
      <c r="I95" s="4">
        <v>0.05</v>
      </c>
      <c r="K95" s="4" cm="1">
        <f t="array" aca="1" ref="K95" ca="1">INDEX(INDIRECT(trust_rcrdq_table),(ROW()-ROW(INDIRECT(trust_rcrdq_cols))),MATCH(selected_rcrdq_name_xc,INDIRECT(trust_rcrdq_cols),0))</f>
        <v>0.91</v>
      </c>
      <c r="L95">
        <f ca="1">RANK(K95,K:K,0)+COUNTIF($K$2:K95,K95)-1</f>
        <v>105</v>
      </c>
      <c r="M95" cm="1">
        <f t="array" aca="1" ref="M95" ca="1">INDEX(INDIRECT(trust_rcrdq_table),(ROW()-ROW(INDIRECT(trust_rcrdq_cols))),MATCH(selected_rcrdq_denom_xc,INDIRECT(trust_rcrdq_cols),0))</f>
        <v>127</v>
      </c>
    </row>
    <row r="96" spans="1:13" x14ac:dyDescent="0.35">
      <c r="A96" t="s">
        <v>256</v>
      </c>
      <c r="B96" t="s">
        <v>257</v>
      </c>
      <c r="C96" t="s">
        <v>98</v>
      </c>
      <c r="D96" s="2">
        <v>44</v>
      </c>
      <c r="E96" s="4">
        <v>1</v>
      </c>
      <c r="F96" s="4">
        <v>0.66</v>
      </c>
      <c r="G96" s="4">
        <v>0.73</v>
      </c>
      <c r="H96" s="4">
        <v>0.95</v>
      </c>
      <c r="I96" s="4">
        <v>0.02</v>
      </c>
      <c r="K96" s="4" cm="1">
        <f t="array" aca="1" ref="K96" ca="1">INDEX(INDIRECT(trust_rcrdq_table),(ROW()-ROW(INDIRECT(trust_rcrdq_cols))),MATCH(selected_rcrdq_name_xc,INDIRECT(trust_rcrdq_cols),0))</f>
        <v>1</v>
      </c>
      <c r="L96">
        <f ca="1">RANK(K96,K:K,0)+COUNTIF($K$2:K96,K96)-1</f>
        <v>13</v>
      </c>
      <c r="M96" cm="1">
        <f t="array" aca="1" ref="M96" ca="1">INDEX(INDIRECT(trust_rcrdq_table),(ROW()-ROW(INDIRECT(trust_rcrdq_cols))),MATCH(selected_rcrdq_denom_xc,INDIRECT(trust_rcrdq_cols),0))</f>
        <v>44</v>
      </c>
    </row>
    <row r="97" spans="1:13" x14ac:dyDescent="0.35">
      <c r="A97" t="s">
        <v>258</v>
      </c>
      <c r="B97" t="s">
        <v>259</v>
      </c>
      <c r="C97" t="s">
        <v>145</v>
      </c>
      <c r="D97" s="2">
        <v>143</v>
      </c>
      <c r="E97" s="4">
        <v>0.99</v>
      </c>
      <c r="F97" s="4">
        <v>0.9</v>
      </c>
      <c r="G97" s="4">
        <v>0.87</v>
      </c>
      <c r="H97" s="4">
        <v>0.99</v>
      </c>
      <c r="I97" s="4">
        <v>0.43</v>
      </c>
      <c r="K97" s="4" cm="1">
        <f t="array" aca="1" ref="K97" ca="1">INDEX(INDIRECT(trust_rcrdq_table),(ROW()-ROW(INDIRECT(trust_rcrdq_cols))),MATCH(selected_rcrdq_name_xc,INDIRECT(trust_rcrdq_cols),0))</f>
        <v>0.99</v>
      </c>
      <c r="L97">
        <f ca="1">RANK(K97,K:K,0)+COUNTIF($K$2:K97,K97)-1</f>
        <v>24</v>
      </c>
      <c r="M97" cm="1">
        <f t="array" aca="1" ref="M97" ca="1">INDEX(INDIRECT(trust_rcrdq_table),(ROW()-ROW(INDIRECT(trust_rcrdq_cols))),MATCH(selected_rcrdq_denom_xc,INDIRECT(trust_rcrdq_cols),0))</f>
        <v>143</v>
      </c>
    </row>
    <row r="98" spans="1:13" x14ac:dyDescent="0.35">
      <c r="A98" t="s">
        <v>260</v>
      </c>
      <c r="B98" t="s">
        <v>261</v>
      </c>
      <c r="C98" t="s">
        <v>464</v>
      </c>
      <c r="D98" s="2">
        <v>154</v>
      </c>
      <c r="E98" s="4">
        <v>0.88</v>
      </c>
      <c r="F98" s="4">
        <v>0.88</v>
      </c>
      <c r="G98" s="4">
        <v>0.36</v>
      </c>
      <c r="H98" s="4">
        <v>0.92</v>
      </c>
      <c r="I98" s="4">
        <v>0.43</v>
      </c>
      <c r="K98" s="4" cm="1">
        <f t="array" aca="1" ref="K98" ca="1">INDEX(INDIRECT(trust_rcrdq_table),(ROW()-ROW(INDIRECT(trust_rcrdq_cols))),MATCH(selected_rcrdq_name_xc,INDIRECT(trust_rcrdq_cols),0))</f>
        <v>0.88</v>
      </c>
      <c r="L98">
        <f ca="1">RANK(K98,K:K,0)+COUNTIF($K$2:K98,K98)-1</f>
        <v>119</v>
      </c>
      <c r="M98" cm="1">
        <f t="array" aca="1" ref="M98" ca="1">INDEX(INDIRECT(trust_rcrdq_table),(ROW()-ROW(INDIRECT(trust_rcrdq_cols))),MATCH(selected_rcrdq_denom_xc,INDIRECT(trust_rcrdq_cols),0))</f>
        <v>154</v>
      </c>
    </row>
    <row r="99" spans="1:13" x14ac:dyDescent="0.35">
      <c r="A99" t="s">
        <v>262</v>
      </c>
      <c r="B99" t="s">
        <v>263</v>
      </c>
      <c r="C99" t="s">
        <v>124</v>
      </c>
      <c r="D99" s="2">
        <v>150</v>
      </c>
      <c r="E99" s="4">
        <v>0.94</v>
      </c>
      <c r="F99" s="4">
        <v>0.89</v>
      </c>
      <c r="G99" s="4">
        <v>0.88</v>
      </c>
      <c r="H99" s="4">
        <v>0.95</v>
      </c>
      <c r="I99" s="4">
        <v>0.01</v>
      </c>
      <c r="K99" s="4" cm="1">
        <f t="array" aca="1" ref="K99" ca="1">INDEX(INDIRECT(trust_rcrdq_table),(ROW()-ROW(INDIRECT(trust_rcrdq_cols))),MATCH(selected_rcrdq_name_xc,INDIRECT(trust_rcrdq_cols),0))</f>
        <v>0.94</v>
      </c>
      <c r="L99">
        <f ca="1">RANK(K99,K:K,0)+COUNTIF($K$2:K99,K99)-1</f>
        <v>86</v>
      </c>
      <c r="M99" cm="1">
        <f t="array" aca="1" ref="M99" ca="1">INDEX(INDIRECT(trust_rcrdq_table),(ROW()-ROW(INDIRECT(trust_rcrdq_cols))),MATCH(selected_rcrdq_denom_xc,INDIRECT(trust_rcrdq_cols),0))</f>
        <v>150</v>
      </c>
    </row>
    <row r="100" spans="1:13" x14ac:dyDescent="0.35">
      <c r="A100" t="s">
        <v>264</v>
      </c>
      <c r="B100" t="s">
        <v>265</v>
      </c>
      <c r="C100" t="s">
        <v>124</v>
      </c>
      <c r="D100" s="2">
        <v>108</v>
      </c>
      <c r="E100" s="4">
        <v>1</v>
      </c>
      <c r="F100" s="4">
        <v>0.81</v>
      </c>
      <c r="G100" s="4">
        <v>0.91</v>
      </c>
      <c r="H100" s="4">
        <v>1</v>
      </c>
      <c r="I100" s="4">
        <v>0.5</v>
      </c>
      <c r="K100" s="4" cm="1">
        <f t="array" aca="1" ref="K100" ca="1">INDEX(INDIRECT(trust_rcrdq_table),(ROW()-ROW(INDIRECT(trust_rcrdq_cols))),MATCH(selected_rcrdq_name_xc,INDIRECT(trust_rcrdq_cols),0))</f>
        <v>1</v>
      </c>
      <c r="L100">
        <f ca="1">RANK(K100,K:K,0)+COUNTIF($K$2:K100,K100)-1</f>
        <v>14</v>
      </c>
      <c r="M100" cm="1">
        <f t="array" aca="1" ref="M100" ca="1">INDEX(INDIRECT(trust_rcrdq_table),(ROW()-ROW(INDIRECT(trust_rcrdq_cols))),MATCH(selected_rcrdq_denom_xc,INDIRECT(trust_rcrdq_cols),0))</f>
        <v>108</v>
      </c>
    </row>
    <row r="101" spans="1:13" x14ac:dyDescent="0.35">
      <c r="A101" t="s">
        <v>479</v>
      </c>
      <c r="B101" t="s">
        <v>266</v>
      </c>
      <c r="C101" t="s">
        <v>145</v>
      </c>
      <c r="D101" s="2">
        <v>71</v>
      </c>
      <c r="E101" s="4">
        <v>0.99</v>
      </c>
      <c r="F101" s="4">
        <v>0.77</v>
      </c>
      <c r="G101" s="4">
        <v>0.66</v>
      </c>
      <c r="H101" s="4">
        <v>0.99</v>
      </c>
      <c r="I101" s="4">
        <v>0.69</v>
      </c>
      <c r="K101" s="4" cm="1">
        <f t="array" aca="1" ref="K101" ca="1">INDEX(INDIRECT(trust_rcrdq_table),(ROW()-ROW(INDIRECT(trust_rcrdq_cols))),MATCH(selected_rcrdq_name_xc,INDIRECT(trust_rcrdq_cols),0))</f>
        <v>0.99</v>
      </c>
      <c r="L101">
        <f ca="1">RANK(K101,K:K,0)+COUNTIF($K$2:K101,K101)-1</f>
        <v>25</v>
      </c>
      <c r="M101" cm="1">
        <f t="array" aca="1" ref="M101" ca="1">INDEX(INDIRECT(trust_rcrdq_table),(ROW()-ROW(INDIRECT(trust_rcrdq_cols))),MATCH(selected_rcrdq_denom_xc,INDIRECT(trust_rcrdq_cols),0))</f>
        <v>71</v>
      </c>
    </row>
    <row r="102" spans="1:13" x14ac:dyDescent="0.35">
      <c r="A102" t="s">
        <v>267</v>
      </c>
      <c r="B102" t="s">
        <v>268</v>
      </c>
      <c r="C102" t="s">
        <v>462</v>
      </c>
      <c r="D102" s="2">
        <v>96</v>
      </c>
      <c r="E102" s="4">
        <v>0.97</v>
      </c>
      <c r="F102" s="4">
        <v>0.43</v>
      </c>
      <c r="G102" s="4">
        <v>0.65</v>
      </c>
      <c r="H102" s="4">
        <v>1</v>
      </c>
      <c r="I102" s="4">
        <v>0.56999999999999995</v>
      </c>
      <c r="K102" s="4" cm="1">
        <f t="array" aca="1" ref="K102" ca="1">INDEX(INDIRECT(trust_rcrdq_table),(ROW()-ROW(INDIRECT(trust_rcrdq_cols))),MATCH(selected_rcrdq_name_xc,INDIRECT(trust_rcrdq_cols),0))</f>
        <v>0.97</v>
      </c>
      <c r="L102">
        <f ca="1">RANK(K102,K:K,0)+COUNTIF($K$2:K102,K102)-1</f>
        <v>52</v>
      </c>
      <c r="M102" cm="1">
        <f t="array" aca="1" ref="M102" ca="1">INDEX(INDIRECT(trust_rcrdq_table),(ROW()-ROW(INDIRECT(trust_rcrdq_cols))),MATCH(selected_rcrdq_denom_xc,INDIRECT(trust_rcrdq_cols),0))</f>
        <v>96</v>
      </c>
    </row>
    <row r="103" spans="1:13" x14ac:dyDescent="0.35">
      <c r="A103" t="s">
        <v>270</v>
      </c>
      <c r="B103" t="s">
        <v>271</v>
      </c>
      <c r="C103" t="s">
        <v>108</v>
      </c>
      <c r="D103" s="2">
        <v>64</v>
      </c>
      <c r="E103" s="4">
        <v>0.92</v>
      </c>
      <c r="F103" s="4">
        <v>0.63</v>
      </c>
      <c r="G103" s="4">
        <v>0.05</v>
      </c>
      <c r="H103" s="4">
        <v>0.98</v>
      </c>
      <c r="I103" s="4">
        <v>0</v>
      </c>
      <c r="K103" s="4" cm="1">
        <f t="array" aca="1" ref="K103" ca="1">INDEX(INDIRECT(trust_rcrdq_table),(ROW()-ROW(INDIRECT(trust_rcrdq_cols))),MATCH(selected_rcrdq_name_xc,INDIRECT(trust_rcrdq_cols),0))</f>
        <v>0.92</v>
      </c>
      <c r="L103">
        <f ca="1">RANK(K103,K:K,0)+COUNTIF($K$2:K103,K103)-1</f>
        <v>99</v>
      </c>
      <c r="M103" cm="1">
        <f t="array" aca="1" ref="M103" ca="1">INDEX(INDIRECT(trust_rcrdq_table),(ROW()-ROW(INDIRECT(trust_rcrdq_cols))),MATCH(selected_rcrdq_denom_xc,INDIRECT(trust_rcrdq_cols),0))</f>
        <v>64</v>
      </c>
    </row>
    <row r="104" spans="1:13" x14ac:dyDescent="0.35">
      <c r="A104" t="s">
        <v>272</v>
      </c>
      <c r="B104" t="s">
        <v>273</v>
      </c>
      <c r="C104" t="s">
        <v>97</v>
      </c>
      <c r="D104" s="2">
        <v>121</v>
      </c>
      <c r="E104" s="4">
        <v>0.86</v>
      </c>
      <c r="F104" s="4">
        <v>0.72</v>
      </c>
      <c r="G104" s="4">
        <v>0.25</v>
      </c>
      <c r="H104" s="4">
        <v>0.98</v>
      </c>
      <c r="I104" s="4">
        <v>0.32</v>
      </c>
      <c r="K104" s="4" cm="1">
        <f t="array" aca="1" ref="K104" ca="1">INDEX(INDIRECT(trust_rcrdq_table),(ROW()-ROW(INDIRECT(trust_rcrdq_cols))),MATCH(selected_rcrdq_name_xc,INDIRECT(trust_rcrdq_cols),0))</f>
        <v>0.86</v>
      </c>
      <c r="L104">
        <f ca="1">RANK(K104,K:K,0)+COUNTIF($K$2:K104,K104)-1</f>
        <v>121</v>
      </c>
      <c r="M104" cm="1">
        <f t="array" aca="1" ref="M104" ca="1">INDEX(INDIRECT(trust_rcrdq_table),(ROW()-ROW(INDIRECT(trust_rcrdq_cols))),MATCH(selected_rcrdq_denom_xc,INDIRECT(trust_rcrdq_cols),0))</f>
        <v>121</v>
      </c>
    </row>
    <row r="105" spans="1:13" x14ac:dyDescent="0.35">
      <c r="A105" t="s">
        <v>274</v>
      </c>
      <c r="B105" t="s">
        <v>275</v>
      </c>
      <c r="C105" t="s">
        <v>108</v>
      </c>
      <c r="D105" s="2">
        <v>21</v>
      </c>
      <c r="E105" s="4">
        <v>0.9</v>
      </c>
      <c r="F105" s="4">
        <v>0.62</v>
      </c>
      <c r="G105" s="4">
        <v>0.1</v>
      </c>
      <c r="H105" s="4">
        <v>1</v>
      </c>
      <c r="I105" s="4">
        <v>0.28999999999999998</v>
      </c>
      <c r="K105" s="4" cm="1">
        <f t="array" aca="1" ref="K105" ca="1">INDEX(INDIRECT(trust_rcrdq_table),(ROW()-ROW(INDIRECT(trust_rcrdq_cols))),MATCH(selected_rcrdq_name_xc,INDIRECT(trust_rcrdq_cols),0))</f>
        <v>0.9</v>
      </c>
      <c r="L105">
        <f ca="1">RANK(K105,K:K,0)+COUNTIF($K$2:K105,K105)-1</f>
        <v>110</v>
      </c>
      <c r="M105" cm="1">
        <f t="array" aca="1" ref="M105" ca="1">INDEX(INDIRECT(trust_rcrdq_table),(ROW()-ROW(INDIRECT(trust_rcrdq_cols))),MATCH(selected_rcrdq_denom_xc,INDIRECT(trust_rcrdq_cols),0))</f>
        <v>21</v>
      </c>
    </row>
    <row r="106" spans="1:13" x14ac:dyDescent="0.35">
      <c r="A106" t="s">
        <v>474</v>
      </c>
      <c r="B106" t="s">
        <v>507</v>
      </c>
      <c r="C106" t="s">
        <v>94</v>
      </c>
      <c r="D106" s="2">
        <v>6</v>
      </c>
      <c r="E106" s="4">
        <v>1</v>
      </c>
      <c r="F106" s="4">
        <v>1</v>
      </c>
      <c r="G106" s="4">
        <v>0.5</v>
      </c>
      <c r="H106" s="4">
        <v>1</v>
      </c>
      <c r="I106" s="4">
        <v>1</v>
      </c>
      <c r="K106" s="4" cm="1">
        <f t="array" aca="1" ref="K106" ca="1">INDEX(INDIRECT(trust_rcrdq_table),(ROW()-ROW(INDIRECT(trust_rcrdq_cols))),MATCH(selected_rcrdq_name_xc,INDIRECT(trust_rcrdq_cols),0))</f>
        <v>1</v>
      </c>
      <c r="L106">
        <f ca="1">RANK(K106,K:K,0)+COUNTIF($K$2:K106,K106)-1</f>
        <v>15</v>
      </c>
      <c r="M106" cm="1">
        <f t="array" aca="1" ref="M106" ca="1">INDEX(INDIRECT(trust_rcrdq_table),(ROW()-ROW(INDIRECT(trust_rcrdq_cols))),MATCH(selected_rcrdq_denom_xc,INDIRECT(trust_rcrdq_cols),0))</f>
        <v>6</v>
      </c>
    </row>
    <row r="107" spans="1:13" x14ac:dyDescent="0.35">
      <c r="A107" t="s">
        <v>287</v>
      </c>
      <c r="B107" t="s">
        <v>288</v>
      </c>
      <c r="C107" t="s">
        <v>127</v>
      </c>
      <c r="D107" s="2">
        <v>85</v>
      </c>
      <c r="E107" s="4">
        <v>0.99</v>
      </c>
      <c r="F107" s="4">
        <v>0.92</v>
      </c>
      <c r="G107" s="4">
        <v>0.88</v>
      </c>
      <c r="H107" s="4">
        <v>0.93</v>
      </c>
      <c r="I107" s="4">
        <v>0.01</v>
      </c>
      <c r="K107" s="4" cm="1">
        <f t="array" aca="1" ref="K107" ca="1">INDEX(INDIRECT(trust_rcrdq_table),(ROW()-ROW(INDIRECT(trust_rcrdq_cols))),MATCH(selected_rcrdq_name_xc,INDIRECT(trust_rcrdq_cols),0))</f>
        <v>0.99</v>
      </c>
      <c r="L107">
        <f ca="1">RANK(K107,K:K,0)+COUNTIF($K$2:K107,K107)-1</f>
        <v>26</v>
      </c>
      <c r="M107" cm="1">
        <f t="array" aca="1" ref="M107" ca="1">INDEX(INDIRECT(trust_rcrdq_table),(ROW()-ROW(INDIRECT(trust_rcrdq_cols))),MATCH(selected_rcrdq_denom_xc,INDIRECT(trust_rcrdq_cols),0))</f>
        <v>85</v>
      </c>
    </row>
    <row r="108" spans="1:13" x14ac:dyDescent="0.35">
      <c r="A108" t="s">
        <v>289</v>
      </c>
      <c r="B108" t="s">
        <v>290</v>
      </c>
      <c r="C108" t="s">
        <v>98</v>
      </c>
      <c r="D108" s="2">
        <v>215</v>
      </c>
      <c r="E108" s="4">
        <v>0.92</v>
      </c>
      <c r="F108" s="4">
        <v>0.71</v>
      </c>
      <c r="G108" s="4">
        <v>0.83</v>
      </c>
      <c r="H108" s="4">
        <v>0.91</v>
      </c>
      <c r="I108" s="4">
        <v>0.55000000000000004</v>
      </c>
      <c r="K108" s="4" cm="1">
        <f t="array" aca="1" ref="K108" ca="1">INDEX(INDIRECT(trust_rcrdq_table),(ROW()-ROW(INDIRECT(trust_rcrdq_cols))),MATCH(selected_rcrdq_name_xc,INDIRECT(trust_rcrdq_cols),0))</f>
        <v>0.92</v>
      </c>
      <c r="L108">
        <f ca="1">RANK(K108,K:K,0)+COUNTIF($K$2:K108,K108)-1</f>
        <v>100</v>
      </c>
      <c r="M108" cm="1">
        <f t="array" aca="1" ref="M108" ca="1">INDEX(INDIRECT(trust_rcrdq_table),(ROW()-ROW(INDIRECT(trust_rcrdq_cols))),MATCH(selected_rcrdq_denom_xc,INDIRECT(trust_rcrdq_cols),0))</f>
        <v>215</v>
      </c>
    </row>
    <row r="109" spans="1:13" x14ac:dyDescent="0.35">
      <c r="A109" t="s">
        <v>291</v>
      </c>
      <c r="B109" t="s">
        <v>292</v>
      </c>
      <c r="C109" t="s">
        <v>119</v>
      </c>
      <c r="D109" s="2">
        <v>113</v>
      </c>
      <c r="E109" s="4">
        <v>0.96</v>
      </c>
      <c r="F109" s="4">
        <v>0.11</v>
      </c>
      <c r="G109" s="4">
        <v>0.5</v>
      </c>
      <c r="H109" s="4">
        <v>0.97</v>
      </c>
      <c r="I109" s="4">
        <v>0.05</v>
      </c>
      <c r="K109" s="4" cm="1">
        <f t="array" aca="1" ref="K109" ca="1">INDEX(INDIRECT(trust_rcrdq_table),(ROW()-ROW(INDIRECT(trust_rcrdq_cols))),MATCH(selected_rcrdq_name_xc,INDIRECT(trust_rcrdq_cols),0))</f>
        <v>0.96</v>
      </c>
      <c r="L109">
        <f ca="1">RANK(K109,K:K,0)+COUNTIF($K$2:K109,K109)-1</f>
        <v>60</v>
      </c>
      <c r="M109" cm="1">
        <f t="array" aca="1" ref="M109" ca="1">INDEX(INDIRECT(trust_rcrdq_table),(ROW()-ROW(INDIRECT(trust_rcrdq_cols))),MATCH(selected_rcrdq_denom_xc,INDIRECT(trust_rcrdq_cols),0))</f>
        <v>113</v>
      </c>
    </row>
    <row r="110" spans="1:13" x14ac:dyDescent="0.35">
      <c r="A110" t="s">
        <v>293</v>
      </c>
      <c r="B110" t="s">
        <v>294</v>
      </c>
      <c r="C110" t="s">
        <v>142</v>
      </c>
      <c r="D110" s="2">
        <v>168</v>
      </c>
      <c r="E110" s="4">
        <v>0.91</v>
      </c>
      <c r="F110" s="4">
        <v>0.87</v>
      </c>
      <c r="G110" s="4">
        <v>0.93</v>
      </c>
      <c r="H110" s="4">
        <v>0.91</v>
      </c>
      <c r="I110" s="4">
        <v>0.7</v>
      </c>
      <c r="K110" s="4" cm="1">
        <f t="array" aca="1" ref="K110" ca="1">INDEX(INDIRECT(trust_rcrdq_table),(ROW()-ROW(INDIRECT(trust_rcrdq_cols))),MATCH(selected_rcrdq_name_xc,INDIRECT(trust_rcrdq_cols),0))</f>
        <v>0.91</v>
      </c>
      <c r="L110">
        <f ca="1">RANK(K110,K:K,0)+COUNTIF($K$2:K110,K110)-1</f>
        <v>106</v>
      </c>
      <c r="M110" cm="1">
        <f t="array" aca="1" ref="M110" ca="1">INDEX(INDIRECT(trust_rcrdq_table),(ROW()-ROW(INDIRECT(trust_rcrdq_cols))),MATCH(selected_rcrdq_denom_xc,INDIRECT(trust_rcrdq_cols),0))</f>
        <v>168</v>
      </c>
    </row>
    <row r="111" spans="1:13" x14ac:dyDescent="0.35">
      <c r="A111" t="s">
        <v>295</v>
      </c>
      <c r="B111" t="s">
        <v>296</v>
      </c>
      <c r="C111" t="s">
        <v>145</v>
      </c>
      <c r="D111" s="2">
        <v>277</v>
      </c>
      <c r="E111" s="4">
        <v>0.94</v>
      </c>
      <c r="F111" s="4">
        <v>0.8</v>
      </c>
      <c r="G111" s="4">
        <v>0.85</v>
      </c>
      <c r="H111" s="4">
        <v>0.99</v>
      </c>
      <c r="I111" s="4">
        <v>0.19</v>
      </c>
      <c r="K111" s="4" cm="1">
        <f t="array" aca="1" ref="K111" ca="1">INDEX(INDIRECT(trust_rcrdq_table),(ROW()-ROW(INDIRECT(trust_rcrdq_cols))),MATCH(selected_rcrdq_name_xc,INDIRECT(trust_rcrdq_cols),0))</f>
        <v>0.94</v>
      </c>
      <c r="L111">
        <f ca="1">RANK(K111,K:K,0)+COUNTIF($K$2:K111,K111)-1</f>
        <v>87</v>
      </c>
      <c r="M111" cm="1">
        <f t="array" aca="1" ref="M111" ca="1">INDEX(INDIRECT(trust_rcrdq_table),(ROW()-ROW(INDIRECT(trust_rcrdq_cols))),MATCH(selected_rcrdq_denom_xc,INDIRECT(trust_rcrdq_cols),0))</f>
        <v>277</v>
      </c>
    </row>
    <row r="112" spans="1:13" x14ac:dyDescent="0.35">
      <c r="A112" t="s">
        <v>297</v>
      </c>
      <c r="B112" t="s">
        <v>298</v>
      </c>
      <c r="C112" t="s">
        <v>464</v>
      </c>
      <c r="D112" s="2">
        <v>153</v>
      </c>
      <c r="E112" s="4">
        <v>0.94</v>
      </c>
      <c r="F112" s="4">
        <v>0.85</v>
      </c>
      <c r="G112" s="4">
        <v>0.67</v>
      </c>
      <c r="H112" s="4">
        <v>0.84</v>
      </c>
      <c r="I112" s="4">
        <v>0.18</v>
      </c>
      <c r="K112" s="4" cm="1">
        <f t="array" aca="1" ref="K112" ca="1">INDEX(INDIRECT(trust_rcrdq_table),(ROW()-ROW(INDIRECT(trust_rcrdq_cols))),MATCH(selected_rcrdq_name_xc,INDIRECT(trust_rcrdq_cols),0))</f>
        <v>0.94</v>
      </c>
      <c r="L112">
        <f ca="1">RANK(K112,K:K,0)+COUNTIF($K$2:K112,K112)-1</f>
        <v>88</v>
      </c>
      <c r="M112" cm="1">
        <f t="array" aca="1" ref="M112" ca="1">INDEX(INDIRECT(trust_rcrdq_table),(ROW()-ROW(INDIRECT(trust_rcrdq_cols))),MATCH(selected_rcrdq_denom_xc,INDIRECT(trust_rcrdq_cols),0))</f>
        <v>153</v>
      </c>
    </row>
    <row r="113" spans="1:13" x14ac:dyDescent="0.35">
      <c r="A113" t="s">
        <v>299</v>
      </c>
      <c r="B113" t="s">
        <v>300</v>
      </c>
      <c r="C113" t="s">
        <v>145</v>
      </c>
      <c r="D113" s="2">
        <v>135</v>
      </c>
      <c r="E113" s="4">
        <v>0.9</v>
      </c>
      <c r="F113" s="4">
        <v>0.81</v>
      </c>
      <c r="G113" s="4">
        <v>0.79</v>
      </c>
      <c r="H113" s="4">
        <v>1</v>
      </c>
      <c r="I113" s="4">
        <v>0.49</v>
      </c>
      <c r="K113" s="4" cm="1">
        <f t="array" aca="1" ref="K113" ca="1">INDEX(INDIRECT(trust_rcrdq_table),(ROW()-ROW(INDIRECT(trust_rcrdq_cols))),MATCH(selected_rcrdq_name_xc,INDIRECT(trust_rcrdq_cols),0))</f>
        <v>0.9</v>
      </c>
      <c r="L113">
        <f ca="1">RANK(K113,K:K,0)+COUNTIF($K$2:K113,K113)-1</f>
        <v>111</v>
      </c>
      <c r="M113" cm="1">
        <f t="array" aca="1" ref="M113" ca="1">INDEX(INDIRECT(trust_rcrdq_table),(ROW()-ROW(INDIRECT(trust_rcrdq_cols))),MATCH(selected_rcrdq_denom_xc,INDIRECT(trust_rcrdq_cols),0))</f>
        <v>135</v>
      </c>
    </row>
    <row r="114" spans="1:13" x14ac:dyDescent="0.35">
      <c r="A114" t="s">
        <v>301</v>
      </c>
      <c r="B114" t="s">
        <v>302</v>
      </c>
      <c r="C114" t="s">
        <v>142</v>
      </c>
      <c r="D114" s="2">
        <v>163</v>
      </c>
      <c r="E114" s="4">
        <v>0.93</v>
      </c>
      <c r="F114" s="4">
        <v>0.88</v>
      </c>
      <c r="G114" s="4">
        <v>0.13</v>
      </c>
      <c r="H114" s="4">
        <v>0.94</v>
      </c>
      <c r="I114" s="4">
        <v>0.78</v>
      </c>
      <c r="K114" s="4" cm="1">
        <f t="array" aca="1" ref="K114" ca="1">INDEX(INDIRECT(trust_rcrdq_table),(ROW()-ROW(INDIRECT(trust_rcrdq_cols))),MATCH(selected_rcrdq_name_xc,INDIRECT(trust_rcrdq_cols),0))</f>
        <v>0.93</v>
      </c>
      <c r="L114">
        <f ca="1">RANK(K114,K:K,0)+COUNTIF($K$2:K114,K114)-1</f>
        <v>95</v>
      </c>
      <c r="M114" cm="1">
        <f t="array" aca="1" ref="M114" ca="1">INDEX(INDIRECT(trust_rcrdq_table),(ROW()-ROW(INDIRECT(trust_rcrdq_cols))),MATCH(selected_rcrdq_denom_xc,INDIRECT(trust_rcrdq_cols),0))</f>
        <v>163</v>
      </c>
    </row>
    <row r="115" spans="1:13" x14ac:dyDescent="0.35">
      <c r="A115" t="s">
        <v>495</v>
      </c>
      <c r="B115" t="s">
        <v>303</v>
      </c>
      <c r="C115" t="s">
        <v>98</v>
      </c>
      <c r="D115" s="2">
        <v>219</v>
      </c>
      <c r="E115" s="4">
        <v>0.92</v>
      </c>
      <c r="F115" s="4">
        <v>0.79</v>
      </c>
      <c r="G115" s="4">
        <v>0.89</v>
      </c>
      <c r="H115" s="4">
        <v>0.96</v>
      </c>
      <c r="I115" s="4">
        <v>0.6</v>
      </c>
      <c r="K115" s="4" cm="1">
        <f t="array" aca="1" ref="K115" ca="1">INDEX(INDIRECT(trust_rcrdq_table),(ROW()-ROW(INDIRECT(trust_rcrdq_cols))),MATCH(selected_rcrdq_name_xc,INDIRECT(trust_rcrdq_cols),0))</f>
        <v>0.92</v>
      </c>
      <c r="L115">
        <f ca="1">RANK(K115,K:K,0)+COUNTIF($K$2:K115,K115)-1</f>
        <v>101</v>
      </c>
      <c r="M115" cm="1">
        <f t="array" aca="1" ref="M115" ca="1">INDEX(INDIRECT(trust_rcrdq_table),(ROW()-ROW(INDIRECT(trust_rcrdq_cols))),MATCH(selected_rcrdq_denom_xc,INDIRECT(trust_rcrdq_cols),0))</f>
        <v>219</v>
      </c>
    </row>
    <row r="116" spans="1:13" x14ac:dyDescent="0.35">
      <c r="A116" t="s">
        <v>500</v>
      </c>
      <c r="B116" t="s">
        <v>304</v>
      </c>
      <c r="C116" t="s">
        <v>98</v>
      </c>
      <c r="D116" s="2">
        <v>238</v>
      </c>
      <c r="E116" s="4">
        <v>0.98</v>
      </c>
      <c r="F116" s="4">
        <v>0.85</v>
      </c>
      <c r="G116" s="4">
        <v>0.03</v>
      </c>
      <c r="H116" s="4">
        <v>0.86</v>
      </c>
      <c r="I116" s="4">
        <v>0.18</v>
      </c>
      <c r="K116" s="4" cm="1">
        <f t="array" aca="1" ref="K116" ca="1">INDEX(INDIRECT(trust_rcrdq_table),(ROW()-ROW(INDIRECT(trust_rcrdq_cols))),MATCH(selected_rcrdq_name_xc,INDIRECT(trust_rcrdq_cols),0))</f>
        <v>0.98</v>
      </c>
      <c r="L116">
        <f ca="1">RANK(K116,K:K,0)+COUNTIF($K$2:K116,K116)-1</f>
        <v>43</v>
      </c>
      <c r="M116" cm="1">
        <f t="array" aca="1" ref="M116" ca="1">INDEX(INDIRECT(trust_rcrdq_table),(ROW()-ROW(INDIRECT(trust_rcrdq_cols))),MATCH(selected_rcrdq_denom_xc,INDIRECT(trust_rcrdq_cols),0))</f>
        <v>238</v>
      </c>
    </row>
    <row r="117" spans="1:13" x14ac:dyDescent="0.35">
      <c r="A117" t="s">
        <v>497</v>
      </c>
      <c r="B117" t="s">
        <v>305</v>
      </c>
      <c r="C117" t="s">
        <v>113</v>
      </c>
      <c r="D117" s="2">
        <v>116</v>
      </c>
      <c r="E117" s="4">
        <v>0.94</v>
      </c>
      <c r="F117" s="4">
        <v>0.86</v>
      </c>
      <c r="G117" s="4">
        <v>0.89</v>
      </c>
      <c r="H117" s="4">
        <v>0.97</v>
      </c>
      <c r="I117" s="4">
        <v>0.5</v>
      </c>
      <c r="K117" s="4" cm="1">
        <f t="array" aca="1" ref="K117" ca="1">INDEX(INDIRECT(trust_rcrdq_table),(ROW()-ROW(INDIRECT(trust_rcrdq_cols))),MATCH(selected_rcrdq_name_xc,INDIRECT(trust_rcrdq_cols),0))</f>
        <v>0.94</v>
      </c>
      <c r="L117">
        <f ca="1">RANK(K117,K:K,0)+COUNTIF($K$2:K117,K117)-1</f>
        <v>89</v>
      </c>
      <c r="M117" cm="1">
        <f t="array" aca="1" ref="M117" ca="1">INDEX(INDIRECT(trust_rcrdq_table),(ROW()-ROW(INDIRECT(trust_rcrdq_cols))),MATCH(selected_rcrdq_denom_xc,INDIRECT(trust_rcrdq_cols),0))</f>
        <v>116</v>
      </c>
    </row>
    <row r="118" spans="1:13" x14ac:dyDescent="0.35">
      <c r="A118" t="s">
        <v>480</v>
      </c>
      <c r="B118" t="s">
        <v>306</v>
      </c>
      <c r="C118" t="s">
        <v>145</v>
      </c>
      <c r="D118" s="2">
        <v>266</v>
      </c>
      <c r="E118" s="4">
        <v>0.98</v>
      </c>
      <c r="F118" s="4">
        <v>0.89</v>
      </c>
      <c r="G118" s="4">
        <v>0.76</v>
      </c>
      <c r="H118" s="4">
        <v>0.95</v>
      </c>
      <c r="I118" s="4">
        <v>0.44</v>
      </c>
      <c r="K118" s="4" cm="1">
        <f t="array" aca="1" ref="K118" ca="1">INDEX(INDIRECT(trust_rcrdq_table),(ROW()-ROW(INDIRECT(trust_rcrdq_cols))),MATCH(selected_rcrdq_name_xc,INDIRECT(trust_rcrdq_cols),0))</f>
        <v>0.98</v>
      </c>
      <c r="L118">
        <f ca="1">RANK(K118,K:K,0)+COUNTIF($K$2:K118,K118)-1</f>
        <v>44</v>
      </c>
      <c r="M118" cm="1">
        <f t="array" aca="1" ref="M118" ca="1">INDEX(INDIRECT(trust_rcrdq_table),(ROW()-ROW(INDIRECT(trust_rcrdq_cols))),MATCH(selected_rcrdq_denom_xc,INDIRECT(trust_rcrdq_cols),0))</f>
        <v>266</v>
      </c>
    </row>
    <row r="119" spans="1:13" x14ac:dyDescent="0.35">
      <c r="A119" t="s">
        <v>482</v>
      </c>
      <c r="B119" t="s">
        <v>237</v>
      </c>
      <c r="C119" t="s">
        <v>127</v>
      </c>
      <c r="D119" s="2">
        <v>145</v>
      </c>
      <c r="E119" s="4">
        <v>0.94</v>
      </c>
      <c r="F119" s="4">
        <v>0.92</v>
      </c>
      <c r="G119" s="4">
        <v>0.26</v>
      </c>
      <c r="H119" s="4">
        <v>0.9</v>
      </c>
      <c r="I119" s="4">
        <v>0.21</v>
      </c>
      <c r="K119" s="4" cm="1">
        <f t="array" aca="1" ref="K119" ca="1">INDEX(INDIRECT(trust_rcrdq_table),(ROW()-ROW(INDIRECT(trust_rcrdq_cols))),MATCH(selected_rcrdq_name_xc,INDIRECT(trust_rcrdq_cols),0))</f>
        <v>0.94</v>
      </c>
      <c r="L119">
        <f ca="1">RANK(K119,K:K,0)+COUNTIF($K$2:K119,K119)-1</f>
        <v>90</v>
      </c>
      <c r="M119" cm="1">
        <f t="array" aca="1" ref="M119" ca="1">INDEX(INDIRECT(trust_rcrdq_table),(ROW()-ROW(INDIRECT(trust_rcrdq_cols))),MATCH(selected_rcrdq_denom_xc,INDIRECT(trust_rcrdq_cols),0))</f>
        <v>145</v>
      </c>
    </row>
    <row r="120" spans="1:13" x14ac:dyDescent="0.35">
      <c r="A120" t="s">
        <v>307</v>
      </c>
      <c r="B120" t="s">
        <v>308</v>
      </c>
      <c r="C120" t="s">
        <v>97</v>
      </c>
      <c r="D120" s="2">
        <v>274</v>
      </c>
      <c r="E120" s="4">
        <v>0.91</v>
      </c>
      <c r="F120" s="4">
        <v>0.83</v>
      </c>
      <c r="G120" s="4">
        <v>0.47</v>
      </c>
      <c r="H120" s="4">
        <v>0.96</v>
      </c>
      <c r="I120" s="4">
        <v>0.22</v>
      </c>
      <c r="K120" s="4" cm="1">
        <f t="array" aca="1" ref="K120" ca="1">INDEX(INDIRECT(trust_rcrdq_table),(ROW()-ROW(INDIRECT(trust_rcrdq_cols))),MATCH(selected_rcrdq_name_xc,INDIRECT(trust_rcrdq_cols),0))</f>
        <v>0.91</v>
      </c>
      <c r="L120">
        <f ca="1">RANK(K120,K:K,0)+COUNTIF($K$2:K120,K120)-1</f>
        <v>107</v>
      </c>
      <c r="M120" cm="1">
        <f t="array" aca="1" ref="M120" ca="1">INDEX(INDIRECT(trust_rcrdq_table),(ROW()-ROW(INDIRECT(trust_rcrdq_cols))),MATCH(selected_rcrdq_denom_xc,INDIRECT(trust_rcrdq_cols),0))</f>
        <v>274</v>
      </c>
    </row>
    <row r="121" spans="1:13" x14ac:dyDescent="0.35">
      <c r="A121" t="s">
        <v>309</v>
      </c>
      <c r="B121" t="s">
        <v>310</v>
      </c>
      <c r="C121" t="s">
        <v>145</v>
      </c>
      <c r="D121" s="2">
        <v>31</v>
      </c>
      <c r="E121" s="4">
        <v>0.9</v>
      </c>
      <c r="F121" s="4">
        <v>0.65</v>
      </c>
      <c r="G121" s="4">
        <v>0.42</v>
      </c>
      <c r="H121" s="4">
        <v>1</v>
      </c>
      <c r="I121" s="4">
        <v>0.26</v>
      </c>
      <c r="K121" s="4" cm="1">
        <f t="array" aca="1" ref="K121" ca="1">INDEX(INDIRECT(trust_rcrdq_table),(ROW()-ROW(INDIRECT(trust_rcrdq_cols))),MATCH(selected_rcrdq_name_xc,INDIRECT(trust_rcrdq_cols),0))</f>
        <v>0.9</v>
      </c>
      <c r="L121">
        <f ca="1">RANK(K121,K:K,0)+COUNTIF($K$2:K121,K121)-1</f>
        <v>112</v>
      </c>
      <c r="M121" cm="1">
        <f t="array" aca="1" ref="M121" ca="1">INDEX(INDIRECT(trust_rcrdq_table),(ROW()-ROW(INDIRECT(trust_rcrdq_cols))),MATCH(selected_rcrdq_denom_xc,INDIRECT(trust_rcrdq_cols),0))</f>
        <v>31</v>
      </c>
    </row>
    <row r="122" spans="1:13" x14ac:dyDescent="0.35">
      <c r="A122" t="s">
        <v>502</v>
      </c>
      <c r="B122" t="s">
        <v>311</v>
      </c>
      <c r="C122" t="s">
        <v>94</v>
      </c>
      <c r="D122" s="2">
        <v>63</v>
      </c>
      <c r="E122" s="4">
        <v>1</v>
      </c>
      <c r="F122" s="4">
        <v>0.86</v>
      </c>
      <c r="G122" s="4">
        <v>0.9</v>
      </c>
      <c r="H122" s="4">
        <v>0.95</v>
      </c>
      <c r="I122" s="4">
        <v>0.63</v>
      </c>
      <c r="K122" s="4" cm="1">
        <f t="array" aca="1" ref="K122" ca="1">INDEX(INDIRECT(trust_rcrdq_table),(ROW()-ROW(INDIRECT(trust_rcrdq_cols))),MATCH(selected_rcrdq_name_xc,INDIRECT(trust_rcrdq_cols),0))</f>
        <v>1</v>
      </c>
      <c r="L122">
        <f ca="1">RANK(K122,K:K,0)+COUNTIF($K$2:K122,K122)-1</f>
        <v>16</v>
      </c>
      <c r="M122" cm="1">
        <f t="array" aca="1" ref="M122" ca="1">INDEX(INDIRECT(trust_rcrdq_table),(ROW()-ROW(INDIRECT(trust_rcrdq_cols))),MATCH(selected_rcrdq_denom_xc,INDIRECT(trust_rcrdq_cols),0))</f>
        <v>63</v>
      </c>
    </row>
    <row r="123" spans="1:13" x14ac:dyDescent="0.35">
      <c r="A123" t="s">
        <v>501</v>
      </c>
      <c r="B123" t="s">
        <v>312</v>
      </c>
      <c r="C123" t="s">
        <v>105</v>
      </c>
      <c r="D123" s="2">
        <v>109</v>
      </c>
      <c r="E123" s="4">
        <v>0.94</v>
      </c>
      <c r="F123" s="4">
        <v>0.88</v>
      </c>
      <c r="G123" s="4">
        <v>0.93</v>
      </c>
      <c r="H123" s="4">
        <v>0.94</v>
      </c>
      <c r="I123" s="4">
        <v>0.46</v>
      </c>
      <c r="K123" s="4" cm="1">
        <f t="array" aca="1" ref="K123" ca="1">INDEX(INDIRECT(trust_rcrdq_table),(ROW()-ROW(INDIRECT(trust_rcrdq_cols))),MATCH(selected_rcrdq_name_xc,INDIRECT(trust_rcrdq_cols),0))</f>
        <v>0.94</v>
      </c>
      <c r="L123">
        <f ca="1">RANK(K123,K:K,0)+COUNTIF($K$2:K123,K123)-1</f>
        <v>91</v>
      </c>
      <c r="M123" cm="1">
        <f t="array" aca="1" ref="M123" ca="1">INDEX(INDIRECT(trust_rcrdq_table),(ROW()-ROW(INDIRECT(trust_rcrdq_cols))),MATCH(selected_rcrdq_denom_xc,INDIRECT(trust_rcrdq_cols),0))</f>
        <v>109</v>
      </c>
    </row>
    <row r="124" spans="1:13" x14ac:dyDescent="0.35">
      <c r="A124" t="s">
        <v>313</v>
      </c>
      <c r="B124" t="s">
        <v>314</v>
      </c>
      <c r="C124" t="s">
        <v>102</v>
      </c>
      <c r="D124" s="2">
        <v>92</v>
      </c>
      <c r="E124" s="4">
        <v>1</v>
      </c>
      <c r="F124" s="4">
        <v>0.87</v>
      </c>
      <c r="G124" s="4">
        <v>0.82</v>
      </c>
      <c r="H124" s="4">
        <v>0.96</v>
      </c>
      <c r="I124" s="4">
        <v>0.65</v>
      </c>
      <c r="K124" s="4" cm="1">
        <f t="array" aca="1" ref="K124" ca="1">INDEX(INDIRECT(trust_rcrdq_table),(ROW()-ROW(INDIRECT(trust_rcrdq_cols))),MATCH(selected_rcrdq_name_xc,INDIRECT(trust_rcrdq_cols),0))</f>
        <v>1</v>
      </c>
      <c r="L124">
        <f ca="1">RANK(K124,K:K,0)+COUNTIF($K$2:K124,K124)-1</f>
        <v>17</v>
      </c>
      <c r="M124" cm="1">
        <f t="array" aca="1" ref="M124" ca="1">INDEX(INDIRECT(trust_rcrdq_table),(ROW()-ROW(INDIRECT(trust_rcrdq_cols))),MATCH(selected_rcrdq_denom_xc,INDIRECT(trust_rcrdq_cols),0))</f>
        <v>92</v>
      </c>
    </row>
    <row r="125" spans="1:13" x14ac:dyDescent="0.35">
      <c r="A125" t="s">
        <v>483</v>
      </c>
      <c r="B125" t="s">
        <v>286</v>
      </c>
      <c r="C125" t="s">
        <v>119</v>
      </c>
      <c r="D125" s="2">
        <v>28</v>
      </c>
      <c r="E125" s="4">
        <v>0.86</v>
      </c>
      <c r="F125" s="4">
        <v>0.56999999999999995</v>
      </c>
      <c r="G125" s="4">
        <v>0.14000000000000001</v>
      </c>
      <c r="H125" s="4">
        <v>1</v>
      </c>
      <c r="I125" s="4">
        <v>0</v>
      </c>
      <c r="K125" s="4" cm="1">
        <f t="array" aca="1" ref="K125" ca="1">INDEX(INDIRECT(trust_rcrdq_table),(ROW()-ROW(INDIRECT(trust_rcrdq_cols))),MATCH(selected_rcrdq_name_xc,INDIRECT(trust_rcrdq_cols),0))</f>
        <v>0.86</v>
      </c>
      <c r="L125">
        <f ca="1">RANK(K125,K:K,0)+COUNTIF($K$2:K125,K125)-1</f>
        <v>122</v>
      </c>
      <c r="M125" cm="1">
        <f t="array" aca="1" ref="M125" ca="1">INDEX(INDIRECT(trust_rcrdq_table),(ROW()-ROW(INDIRECT(trust_rcrdq_cols))),MATCH(selected_rcrdq_denom_xc,INDIRECT(trust_rcrdq_cols),0))</f>
        <v>28</v>
      </c>
    </row>
    <row r="126" spans="1:13" x14ac:dyDescent="0.35">
      <c r="A126" t="s">
        <v>315</v>
      </c>
      <c r="B126" t="s">
        <v>316</v>
      </c>
      <c r="C126" t="s">
        <v>94</v>
      </c>
      <c r="D126" s="2">
        <v>94</v>
      </c>
      <c r="E126" s="4">
        <v>1</v>
      </c>
      <c r="F126" s="4">
        <v>0.85</v>
      </c>
      <c r="G126" s="4">
        <v>0.96</v>
      </c>
      <c r="H126" s="4">
        <v>0.96</v>
      </c>
      <c r="I126" s="4">
        <v>0.38</v>
      </c>
      <c r="K126" s="4" cm="1">
        <f t="array" aca="1" ref="K126" ca="1">INDEX(INDIRECT(trust_rcrdq_table),(ROW()-ROW(INDIRECT(trust_rcrdq_cols))),MATCH(selected_rcrdq_name_xc,INDIRECT(trust_rcrdq_cols),0))</f>
        <v>1</v>
      </c>
      <c r="L126">
        <f ca="1">RANK(K126,K:K,0)+COUNTIF($K$2:K126,K126)-1</f>
        <v>18</v>
      </c>
      <c r="M126" cm="1">
        <f t="array" aca="1" ref="M126" ca="1">INDEX(INDIRECT(trust_rcrdq_table),(ROW()-ROW(INDIRECT(trust_rcrdq_cols))),MATCH(selected_rcrdq_denom_xc,INDIRECT(trust_rcrdq_cols),0))</f>
        <v>94</v>
      </c>
    </row>
    <row r="127" spans="1:13" x14ac:dyDescent="0.35">
      <c r="A127" t="s">
        <v>317</v>
      </c>
      <c r="B127" t="s">
        <v>318</v>
      </c>
      <c r="C127" t="s">
        <v>145</v>
      </c>
      <c r="D127" s="2">
        <v>167</v>
      </c>
      <c r="E127" s="4">
        <v>0.96</v>
      </c>
      <c r="F127" s="4">
        <v>0.81</v>
      </c>
      <c r="G127" s="4">
        <v>0.63</v>
      </c>
      <c r="H127" s="4">
        <v>0.99</v>
      </c>
      <c r="I127" s="4">
        <v>0.28999999999999998</v>
      </c>
      <c r="K127" s="4" cm="1">
        <f t="array" aca="1" ref="K127" ca="1">INDEX(INDIRECT(trust_rcrdq_table),(ROW()-ROW(INDIRECT(trust_rcrdq_cols))),MATCH(selected_rcrdq_name_xc,INDIRECT(trust_rcrdq_cols),0))</f>
        <v>0.96</v>
      </c>
      <c r="L127">
        <f ca="1">RANK(K127,K:K,0)+COUNTIF($K$2:K127,K127)-1</f>
        <v>61</v>
      </c>
      <c r="M127" cm="1">
        <f t="array" aca="1" ref="M127" ca="1">INDEX(INDIRECT(trust_rcrdq_table),(ROW()-ROW(INDIRECT(trust_rcrdq_cols))),MATCH(selected_rcrdq_denom_xc,INDIRECT(trust_rcrdq_cols),0))</f>
        <v>167</v>
      </c>
    </row>
    <row r="128" spans="1:13" x14ac:dyDescent="0.35">
      <c r="A128" t="s">
        <v>319</v>
      </c>
      <c r="B128" t="s">
        <v>320</v>
      </c>
      <c r="C128" t="s">
        <v>108</v>
      </c>
      <c r="D128" s="2">
        <v>65</v>
      </c>
      <c r="E128" s="4">
        <v>0.98</v>
      </c>
      <c r="F128" s="4">
        <v>0.91</v>
      </c>
      <c r="G128" s="4">
        <v>0.85</v>
      </c>
      <c r="H128" s="4">
        <v>0.97</v>
      </c>
      <c r="I128" s="4">
        <v>0.48</v>
      </c>
      <c r="K128" s="4" cm="1">
        <f t="array" aca="1" ref="K128" ca="1">INDEX(INDIRECT(trust_rcrdq_table),(ROW()-ROW(INDIRECT(trust_rcrdq_cols))),MATCH(selected_rcrdq_name_xc,INDIRECT(trust_rcrdq_cols),0))</f>
        <v>0.98</v>
      </c>
      <c r="L128">
        <f ca="1">RANK(K128,K:K,0)+COUNTIF($K$2:K128,K128)-1</f>
        <v>45</v>
      </c>
      <c r="M128" cm="1">
        <f t="array" aca="1" ref="M128" ca="1">INDEX(INDIRECT(trust_rcrdq_table),(ROW()-ROW(INDIRECT(trust_rcrdq_cols))),MATCH(selected_rcrdq_denom_xc,INDIRECT(trust_rcrdq_cols),0))</f>
        <v>65</v>
      </c>
    </row>
    <row r="129" spans="1:13" x14ac:dyDescent="0.35">
      <c r="A129" t="s">
        <v>321</v>
      </c>
      <c r="B129" t="s">
        <v>322</v>
      </c>
      <c r="C129" t="s">
        <v>145</v>
      </c>
      <c r="D129" s="2">
        <v>22</v>
      </c>
      <c r="E129" s="4">
        <v>0.86</v>
      </c>
      <c r="F129" s="4">
        <v>0.45</v>
      </c>
      <c r="G129" s="4">
        <v>0.18</v>
      </c>
      <c r="H129" s="4">
        <v>0.91</v>
      </c>
      <c r="I129" s="4">
        <v>0</v>
      </c>
      <c r="K129" s="4" cm="1">
        <f t="array" aca="1" ref="K129" ca="1">INDEX(INDIRECT(trust_rcrdq_table),(ROW()-ROW(INDIRECT(trust_rcrdq_cols))),MATCH(selected_rcrdq_name_xc,INDIRECT(trust_rcrdq_cols),0))</f>
        <v>0.86</v>
      </c>
      <c r="L129">
        <f ca="1">RANK(K129,K:K,0)+COUNTIF($K$2:K129,K129)-1</f>
        <v>123</v>
      </c>
      <c r="M129" cm="1">
        <f t="array" aca="1" ref="M129" ca="1">INDEX(INDIRECT(trust_rcrdq_table),(ROW()-ROW(INDIRECT(trust_rcrdq_cols))),MATCH(selected_rcrdq_denom_xc,INDIRECT(trust_rcrdq_cols),0))</f>
        <v>22</v>
      </c>
    </row>
    <row r="130" spans="1:13" x14ac:dyDescent="0.35">
      <c r="A130" t="s">
        <v>470</v>
      </c>
      <c r="B130" t="s">
        <v>323</v>
      </c>
      <c r="C130" t="s">
        <v>469</v>
      </c>
      <c r="D130" s="2">
        <v>165</v>
      </c>
      <c r="E130" s="4">
        <v>0.95</v>
      </c>
      <c r="F130" s="4">
        <v>0.93</v>
      </c>
      <c r="G130" s="4">
        <v>0.23</v>
      </c>
      <c r="H130" s="4">
        <v>0.97</v>
      </c>
      <c r="I130" s="4">
        <v>0.52</v>
      </c>
      <c r="K130" s="4" cm="1">
        <f t="array" aca="1" ref="K130" ca="1">INDEX(INDIRECT(trust_rcrdq_table),(ROW()-ROW(INDIRECT(trust_rcrdq_cols))),MATCH(selected_rcrdq_name_xc,INDIRECT(trust_rcrdq_cols),0))</f>
        <v>0.95</v>
      </c>
      <c r="L130">
        <f ca="1">RANK(K130,K:K,0)+COUNTIF($K$2:K130,K130)-1</f>
        <v>75</v>
      </c>
      <c r="M130" cm="1">
        <f t="array" aca="1" ref="M130" ca="1">INDEX(INDIRECT(trust_rcrdq_table),(ROW()-ROW(INDIRECT(trust_rcrdq_cols))),MATCH(selected_rcrdq_denom_xc,INDIRECT(trust_rcrdq_cols),0))</f>
        <v>165</v>
      </c>
    </row>
    <row r="131" spans="1:13" x14ac:dyDescent="0.35">
      <c r="L131"/>
      <c r="M131"/>
    </row>
  </sheetData>
  <autoFilter ref="A1:O130" xr:uid="{00000000-0001-0000-0300-000000000000}"/>
  <sortState xmlns:xlrd2="http://schemas.microsoft.com/office/spreadsheetml/2017/richdata2" ref="A2:I130">
    <sortCondition ref="A2:A130"/>
  </sortState>
  <conditionalFormatting sqref="K2:K130">
    <cfRule type="top10" dxfId="23" priority="83" bottom="1" rank="1"/>
    <cfRule type="top10" dxfId="22" priority="84" rank="1"/>
  </conditionalFormatting>
  <conditionalFormatting sqref="K131:K1048576 K1">
    <cfRule type="top10" dxfId="21" priority="12" bottom="1" rank="1"/>
    <cfRule type="top10" dxfId="20" priority="13" rank="1"/>
  </conditionalFormatting>
  <conditionalFormatting sqref="L2:M130">
    <cfRule type="top10" dxfId="19" priority="87" bottom="1" rank="1"/>
    <cfRule type="top10" dxfId="18" priority="88" rank="1"/>
  </conditionalFormatting>
  <conditionalFormatting sqref="L132:M1048576 L1">
    <cfRule type="top10" dxfId="17" priority="8" rank="1"/>
    <cfRule type="top10" dxfId="16" priority="9" bottom="1" rank="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J22"/>
  <sheetViews>
    <sheetView workbookViewId="0">
      <pane xSplit="1" ySplit="1" topLeftCell="B2" activePane="bottomRight" state="frozen"/>
      <selection pane="topRight"/>
      <selection pane="bottomLeft"/>
      <selection pane="bottomRight"/>
    </sheetView>
  </sheetViews>
  <sheetFormatPr defaultRowHeight="14.5" x14ac:dyDescent="0.35"/>
  <cols>
    <col min="1" max="1" width="43.453125" bestFit="1" customWidth="1"/>
    <col min="2" max="2" width="6" bestFit="1" customWidth="1"/>
    <col min="3" max="3" width="10.81640625" style="46" bestFit="1" customWidth="1"/>
    <col min="4" max="4" width="9" style="46" bestFit="1" customWidth="1"/>
    <col min="5" max="5" width="5.1796875" style="4" bestFit="1" customWidth="1"/>
    <col min="6" max="6" width="7.81640625" style="4" bestFit="1" customWidth="1"/>
    <col min="7" max="7" width="8" style="4" bestFit="1" customWidth="1"/>
    <col min="9" max="9" width="19.81640625" customWidth="1"/>
    <col min="10" max="10" width="18.81640625" customWidth="1"/>
  </cols>
  <sheetData>
    <row r="1" spans="1:10" x14ac:dyDescent="0.35">
      <c r="A1" s="73" t="s">
        <v>460</v>
      </c>
      <c r="B1" s="73" t="s">
        <v>425</v>
      </c>
      <c r="C1" s="73" t="s">
        <v>64</v>
      </c>
      <c r="D1" s="73" t="s">
        <v>65</v>
      </c>
      <c r="E1" s="73" t="s">
        <v>66</v>
      </c>
      <c r="F1" s="73" t="s">
        <v>67</v>
      </c>
      <c r="G1" s="73" t="s">
        <v>68</v>
      </c>
      <c r="H1" t="s">
        <v>324</v>
      </c>
      <c r="I1" s="91" t="s">
        <v>327</v>
      </c>
      <c r="J1" s="8" t="s">
        <v>328</v>
      </c>
    </row>
    <row r="2" spans="1:10" x14ac:dyDescent="0.35">
      <c r="A2" t="s">
        <v>94</v>
      </c>
      <c r="B2" s="2">
        <v>624</v>
      </c>
      <c r="C2" s="4">
        <v>0.96</v>
      </c>
      <c r="D2" s="4">
        <v>0.81</v>
      </c>
      <c r="E2" s="4">
        <v>0.76</v>
      </c>
      <c r="F2" s="4">
        <v>0.96</v>
      </c>
      <c r="G2" s="4">
        <v>0.44</v>
      </c>
      <c r="H2" s="2"/>
      <c r="I2" s="4" cm="1">
        <f t="array" aca="1" ref="I2" ca="1">INDEX(INDIRECT(alliance_rcrdq_table),(ROW()-ROW(INDIRECT(alliance_rcrdq_cols))),MATCH(selected_rcrdq_name_xc,INDIRECT(alliance_rcrdq_cols),0))</f>
        <v>0.96</v>
      </c>
      <c r="J2" s="90">
        <f ca="1">RANK(I2,I:I,0)+COUNTIF($I$2:I2,I2)-1</f>
        <v>2</v>
      </c>
    </row>
    <row r="3" spans="1:10" x14ac:dyDescent="0.35">
      <c r="A3" t="s">
        <v>98</v>
      </c>
      <c r="B3" s="2">
        <v>1116</v>
      </c>
      <c r="C3" s="4">
        <v>0.94</v>
      </c>
      <c r="D3" s="4">
        <v>0.76</v>
      </c>
      <c r="E3" s="4">
        <v>0.57999999999999996</v>
      </c>
      <c r="F3" s="4">
        <v>0.93</v>
      </c>
      <c r="G3" s="4">
        <v>0.39</v>
      </c>
      <c r="I3" s="4" cm="1">
        <f t="array" aca="1" ref="I3" ca="1">INDEX(INDIRECT(alliance_rcrdq_table),(ROW()-ROW(INDIRECT(alliance_rcrdq_cols))),MATCH(selected_rcrdq_name_xc,INDIRECT(alliance_rcrdq_cols),0))</f>
        <v>0.94</v>
      </c>
      <c r="J3">
        <f ca="1">RANK(I3,I:I,0)+COUNTIF($I$2:I3,I3)-1</f>
        <v>10</v>
      </c>
    </row>
    <row r="4" spans="1:10" x14ac:dyDescent="0.35">
      <c r="A4" t="s">
        <v>102</v>
      </c>
      <c r="B4" s="2">
        <v>891</v>
      </c>
      <c r="C4" s="4">
        <v>0.96</v>
      </c>
      <c r="D4" s="4">
        <v>0.71</v>
      </c>
      <c r="E4" s="4">
        <v>0.72</v>
      </c>
      <c r="F4" s="4">
        <v>0.96</v>
      </c>
      <c r="G4" s="4">
        <v>0.32</v>
      </c>
      <c r="I4" s="4" cm="1">
        <f t="array" aca="1" ref="I4" ca="1">INDEX(INDIRECT(alliance_rcrdq_table),(ROW()-ROW(INDIRECT(alliance_rcrdq_cols))),MATCH(selected_rcrdq_name_xc,INDIRECT(alliance_rcrdq_cols),0))</f>
        <v>0.96</v>
      </c>
      <c r="J4">
        <f ca="1">RANK(I4,I:I,0)+COUNTIF($I$2:I4,I4)-1</f>
        <v>3</v>
      </c>
    </row>
    <row r="5" spans="1:10" x14ac:dyDescent="0.35">
      <c r="A5" t="s">
        <v>105</v>
      </c>
      <c r="B5" s="2">
        <v>705</v>
      </c>
      <c r="C5" s="4">
        <v>0.94</v>
      </c>
      <c r="D5" s="4">
        <v>0.71</v>
      </c>
      <c r="E5" s="4">
        <v>0.56999999999999995</v>
      </c>
      <c r="F5" s="4">
        <v>0.97</v>
      </c>
      <c r="G5" s="4">
        <v>0.3</v>
      </c>
      <c r="I5" s="4" cm="1">
        <f t="array" aca="1" ref="I5" ca="1">INDEX(INDIRECT(alliance_rcrdq_table),(ROW()-ROW(INDIRECT(alliance_rcrdq_cols))),MATCH(selected_rcrdq_name_xc,INDIRECT(alliance_rcrdq_cols),0))</f>
        <v>0.94</v>
      </c>
      <c r="J5">
        <f ca="1">RANK(I5,I:I,0)+COUNTIF($I$2:I5,I5)-1</f>
        <v>11</v>
      </c>
    </row>
    <row r="6" spans="1:10" x14ac:dyDescent="0.35">
      <c r="A6" t="s">
        <v>108</v>
      </c>
      <c r="B6" s="2">
        <v>504</v>
      </c>
      <c r="C6" s="4">
        <v>0.94</v>
      </c>
      <c r="D6" s="4">
        <v>0.56000000000000005</v>
      </c>
      <c r="E6" s="4">
        <v>0.37</v>
      </c>
      <c r="F6" s="4">
        <v>0.96</v>
      </c>
      <c r="G6" s="4">
        <v>0.27</v>
      </c>
      <c r="I6" s="4" cm="1">
        <f t="array" aca="1" ref="I6" ca="1">INDEX(INDIRECT(alliance_rcrdq_table),(ROW()-ROW(INDIRECT(alliance_rcrdq_cols))),MATCH(selected_rcrdq_name_xc,INDIRECT(alliance_rcrdq_cols),0))</f>
        <v>0.94</v>
      </c>
      <c r="J6">
        <f ca="1">RANK(I6,I:I,0)+COUNTIF($I$2:I6,I6)-1</f>
        <v>12</v>
      </c>
    </row>
    <row r="7" spans="1:10" x14ac:dyDescent="0.35">
      <c r="A7" t="s">
        <v>469</v>
      </c>
      <c r="B7" s="2">
        <v>418</v>
      </c>
      <c r="C7" s="4">
        <v>0.92</v>
      </c>
      <c r="D7" s="4">
        <v>0.95</v>
      </c>
      <c r="E7" s="4">
        <v>0.53</v>
      </c>
      <c r="F7" s="4">
        <v>0.97</v>
      </c>
      <c r="G7" s="4">
        <v>0.41</v>
      </c>
      <c r="I7" s="4" cm="1">
        <f t="array" aca="1" ref="I7" ca="1">INDEX(INDIRECT(alliance_rcrdq_table),(ROW()-ROW(INDIRECT(alliance_rcrdq_cols))),MATCH(selected_rcrdq_name_xc,INDIRECT(alliance_rcrdq_cols),0))</f>
        <v>0.92</v>
      </c>
      <c r="J7">
        <f ca="1">RANK(I7,I:I,0)+COUNTIF($I$2:I7,I7)-1</f>
        <v>17</v>
      </c>
    </row>
    <row r="8" spans="1:10" x14ac:dyDescent="0.35">
      <c r="A8" t="s">
        <v>114</v>
      </c>
      <c r="B8" s="2">
        <v>463</v>
      </c>
      <c r="C8" s="4">
        <v>0.94</v>
      </c>
      <c r="D8" s="4">
        <v>0.66</v>
      </c>
      <c r="E8" s="4">
        <v>0.7</v>
      </c>
      <c r="F8" s="4">
        <v>0.93</v>
      </c>
      <c r="G8" s="4">
        <v>0.3</v>
      </c>
      <c r="I8" s="4" cm="1">
        <f t="array" aca="1" ref="I8" ca="1">INDEX(INDIRECT(alliance_rcrdq_table),(ROW()-ROW(INDIRECT(alliance_rcrdq_cols))),MATCH(selected_rcrdq_name_xc,INDIRECT(alliance_rcrdq_cols),0))</f>
        <v>0.94</v>
      </c>
      <c r="J8">
        <f ca="1">RANK(I8,I:I,0)+COUNTIF($I$2:I8,I8)-1</f>
        <v>13</v>
      </c>
    </row>
    <row r="9" spans="1:10" x14ac:dyDescent="0.35">
      <c r="A9" t="s">
        <v>113</v>
      </c>
      <c r="B9" s="2">
        <v>413</v>
      </c>
      <c r="C9" s="4">
        <v>0.92</v>
      </c>
      <c r="D9" s="4">
        <v>0.84</v>
      </c>
      <c r="E9" s="4">
        <v>0.64</v>
      </c>
      <c r="F9" s="4">
        <v>0.93</v>
      </c>
      <c r="G9" s="4">
        <v>0.36</v>
      </c>
      <c r="I9" s="4" cm="1">
        <f t="array" aca="1" ref="I9" ca="1">INDEX(INDIRECT(alliance_rcrdq_table),(ROW()-ROW(INDIRECT(alliance_rcrdq_cols))),MATCH(selected_rcrdq_name_xc,INDIRECT(alliance_rcrdq_cols),0))</f>
        <v>0.92</v>
      </c>
      <c r="J9">
        <f ca="1">RANK(I9,I:I,0)+COUNTIF($I$2:I9,I9)-1</f>
        <v>18</v>
      </c>
    </row>
    <row r="10" spans="1:10" x14ac:dyDescent="0.35">
      <c r="A10" t="s">
        <v>119</v>
      </c>
      <c r="B10" s="2">
        <v>383</v>
      </c>
      <c r="C10" s="4">
        <v>0.95</v>
      </c>
      <c r="D10" s="4">
        <v>0.51</v>
      </c>
      <c r="E10" s="4">
        <v>0.56999999999999995</v>
      </c>
      <c r="F10" s="4">
        <v>0.96</v>
      </c>
      <c r="G10" s="4">
        <v>0.22</v>
      </c>
      <c r="I10" s="4" cm="1">
        <f t="array" aca="1" ref="I10" ca="1">INDEX(INDIRECT(alliance_rcrdq_table),(ROW()-ROW(INDIRECT(alliance_rcrdq_cols))),MATCH(selected_rcrdq_name_xc,INDIRECT(alliance_rcrdq_cols),0))</f>
        <v>0.95</v>
      </c>
      <c r="J10">
        <f ca="1">RANK(I10,I:I,0)+COUNTIF($I$2:I10,I10)-1</f>
        <v>6</v>
      </c>
    </row>
    <row r="11" spans="1:10" x14ac:dyDescent="0.35">
      <c r="A11" t="s">
        <v>101</v>
      </c>
      <c r="B11" s="2">
        <v>281</v>
      </c>
      <c r="C11" s="4">
        <v>0.95</v>
      </c>
      <c r="D11" s="4">
        <v>0.7</v>
      </c>
      <c r="E11" s="4">
        <v>0.43</v>
      </c>
      <c r="F11" s="4">
        <v>0.97</v>
      </c>
      <c r="G11" s="4">
        <v>0.3</v>
      </c>
      <c r="I11" s="4" cm="1">
        <f t="array" aca="1" ref="I11" ca="1">INDEX(INDIRECT(alliance_rcrdq_table),(ROW()-ROW(INDIRECT(alliance_rcrdq_cols))),MATCH(selected_rcrdq_name_xc,INDIRECT(alliance_rcrdq_cols),0))</f>
        <v>0.95</v>
      </c>
      <c r="J11">
        <f ca="1">RANK(I11,I:I,0)+COUNTIF($I$2:I11,I11)-1</f>
        <v>7</v>
      </c>
    </row>
    <row r="12" spans="1:10" x14ac:dyDescent="0.35">
      <c r="A12" t="s">
        <v>124</v>
      </c>
      <c r="B12" s="2">
        <v>812</v>
      </c>
      <c r="C12" s="4">
        <v>0.96</v>
      </c>
      <c r="D12" s="4">
        <v>0.8</v>
      </c>
      <c r="E12" s="4">
        <v>0.69</v>
      </c>
      <c r="F12" s="4">
        <v>0.96</v>
      </c>
      <c r="G12" s="4">
        <v>0.3</v>
      </c>
      <c r="I12" s="4" cm="1">
        <f t="array" aca="1" ref="I12" ca="1">INDEX(INDIRECT(alliance_rcrdq_table),(ROW()-ROW(INDIRECT(alliance_rcrdq_cols))),MATCH(selected_rcrdq_name_xc,INDIRECT(alliance_rcrdq_cols),0))</f>
        <v>0.96</v>
      </c>
      <c r="J12">
        <f ca="1">RANK(I12,I:I,0)+COUNTIF($I$2:I12,I12)-1</f>
        <v>4</v>
      </c>
    </row>
    <row r="13" spans="1:10" x14ac:dyDescent="0.35">
      <c r="A13" t="s">
        <v>127</v>
      </c>
      <c r="B13" s="2">
        <v>498</v>
      </c>
      <c r="C13" s="4">
        <v>0.94</v>
      </c>
      <c r="D13" s="4">
        <v>0.64</v>
      </c>
      <c r="E13" s="4">
        <v>0.41</v>
      </c>
      <c r="F13" s="4">
        <v>0.91</v>
      </c>
      <c r="G13" s="4">
        <v>0.19</v>
      </c>
      <c r="I13" s="4" cm="1">
        <f t="array" aca="1" ref="I13" ca="1">INDEX(INDIRECT(alliance_rcrdq_table),(ROW()-ROW(INDIRECT(alliance_rcrdq_cols))),MATCH(selected_rcrdq_name_xc,INDIRECT(alliance_rcrdq_cols),0))</f>
        <v>0.94</v>
      </c>
      <c r="J13">
        <f ca="1">RANK(I13,I:I,0)+COUNTIF($I$2:I13,I13)-1</f>
        <v>14</v>
      </c>
    </row>
    <row r="14" spans="1:10" x14ac:dyDescent="0.35">
      <c r="A14" t="s">
        <v>462</v>
      </c>
      <c r="B14" s="2">
        <v>684</v>
      </c>
      <c r="C14" s="4">
        <v>0.96</v>
      </c>
      <c r="D14" s="4">
        <v>0.68</v>
      </c>
      <c r="E14" s="4">
        <v>0.55000000000000004</v>
      </c>
      <c r="F14" s="4">
        <v>0.96</v>
      </c>
      <c r="G14" s="4">
        <v>0.48</v>
      </c>
      <c r="I14" s="4" cm="1">
        <f t="array" aca="1" ref="I14" ca="1">INDEX(INDIRECT(alliance_rcrdq_table),(ROW()-ROW(INDIRECT(alliance_rcrdq_cols))),MATCH(selected_rcrdq_name_xc,INDIRECT(alliance_rcrdq_cols),0))</f>
        <v>0.96</v>
      </c>
      <c r="J14">
        <f ca="1">RANK(I14,I:I,0)+COUNTIF($I$2:I14,I14)-1</f>
        <v>5</v>
      </c>
    </row>
    <row r="15" spans="1:10" x14ac:dyDescent="0.35">
      <c r="A15" t="s">
        <v>464</v>
      </c>
      <c r="B15" s="2">
        <v>757</v>
      </c>
      <c r="C15" s="4">
        <v>0.94</v>
      </c>
      <c r="D15" s="4">
        <v>0.67</v>
      </c>
      <c r="E15" s="4">
        <v>0.46</v>
      </c>
      <c r="F15" s="4">
        <v>0.93</v>
      </c>
      <c r="G15" s="4">
        <v>0.26</v>
      </c>
      <c r="I15" s="4" cm="1">
        <f t="array" aca="1" ref="I15" ca="1">INDEX(INDIRECT(alliance_rcrdq_table),(ROW()-ROW(INDIRECT(alliance_rcrdq_cols))),MATCH(selected_rcrdq_name_xc,INDIRECT(alliance_rcrdq_cols),0))</f>
        <v>0.94</v>
      </c>
      <c r="J15">
        <f ca="1">RANK(I15,I:I,0)+COUNTIF($I$2:I15,I15)-1</f>
        <v>15</v>
      </c>
    </row>
    <row r="16" spans="1:10" x14ac:dyDescent="0.35">
      <c r="A16" t="s">
        <v>133</v>
      </c>
      <c r="B16" s="2">
        <v>380</v>
      </c>
      <c r="C16" s="4">
        <v>0.89</v>
      </c>
      <c r="D16" s="4">
        <v>0.56000000000000005</v>
      </c>
      <c r="E16" s="4">
        <v>0.25</v>
      </c>
      <c r="F16" s="4">
        <v>0.97</v>
      </c>
      <c r="G16" s="4">
        <v>0.15</v>
      </c>
      <c r="I16" s="4" cm="1">
        <f t="array" aca="1" ref="I16" ca="1">INDEX(INDIRECT(alliance_rcrdq_table),(ROW()-ROW(INDIRECT(alliance_rcrdq_cols))),MATCH(selected_rcrdq_name_xc,INDIRECT(alliance_rcrdq_cols),0))</f>
        <v>0.89</v>
      </c>
      <c r="J16">
        <f ca="1">RANK(I16,I:I,0)+COUNTIF($I$2:I16,I16)-1</f>
        <v>21</v>
      </c>
    </row>
    <row r="17" spans="1:10" x14ac:dyDescent="0.35">
      <c r="A17" t="s">
        <v>104</v>
      </c>
      <c r="B17" s="2">
        <v>408</v>
      </c>
      <c r="C17" s="4">
        <v>0.95</v>
      </c>
      <c r="D17" s="4">
        <v>0.43</v>
      </c>
      <c r="E17" s="4">
        <v>0.61</v>
      </c>
      <c r="F17" s="4">
        <v>0.96</v>
      </c>
      <c r="G17" s="4">
        <v>0.3</v>
      </c>
      <c r="I17" s="4" cm="1">
        <f t="array" aca="1" ref="I17" ca="1">INDEX(INDIRECT(alliance_rcrdq_table),(ROW()-ROW(INDIRECT(alliance_rcrdq_cols))),MATCH(selected_rcrdq_name_xc,INDIRECT(alliance_rcrdq_cols),0))</f>
        <v>0.95</v>
      </c>
      <c r="J17">
        <f ca="1">RANK(I17,I:I,0)+COUNTIF($I$2:I17,I17)-1</f>
        <v>8</v>
      </c>
    </row>
    <row r="18" spans="1:10" x14ac:dyDescent="0.35">
      <c r="A18" t="s">
        <v>97</v>
      </c>
      <c r="B18" s="2">
        <v>766</v>
      </c>
      <c r="C18" s="4">
        <v>0.91</v>
      </c>
      <c r="D18" s="4">
        <v>0.8</v>
      </c>
      <c r="E18" s="4">
        <v>0.51</v>
      </c>
      <c r="F18" s="4">
        <v>0.92</v>
      </c>
      <c r="G18" s="4">
        <v>0.26</v>
      </c>
      <c r="I18" s="4" cm="1">
        <f t="array" aca="1" ref="I18" ca="1">INDEX(INDIRECT(alliance_rcrdq_table),(ROW()-ROW(INDIRECT(alliance_rcrdq_cols))),MATCH(selected_rcrdq_name_xc,INDIRECT(alliance_rcrdq_cols),0))</f>
        <v>0.91</v>
      </c>
      <c r="J18">
        <f ca="1">RANK(I18,I:I,0)+COUNTIF($I$2:I18,I18)-1</f>
        <v>19</v>
      </c>
    </row>
    <row r="19" spans="1:10" x14ac:dyDescent="0.35">
      <c r="A19" t="s">
        <v>122</v>
      </c>
      <c r="B19" s="2">
        <v>529</v>
      </c>
      <c r="C19" s="4">
        <v>0.93</v>
      </c>
      <c r="D19" s="4">
        <v>0.83</v>
      </c>
      <c r="E19" s="4">
        <v>0.36</v>
      </c>
      <c r="F19" s="4">
        <v>0.96</v>
      </c>
      <c r="G19" s="4">
        <v>0.28999999999999998</v>
      </c>
      <c r="I19" s="4" cm="1">
        <f t="array" aca="1" ref="I19" ca="1">INDEX(INDIRECT(alliance_rcrdq_table),(ROW()-ROW(INDIRECT(alliance_rcrdq_cols))),MATCH(selected_rcrdq_name_xc,INDIRECT(alliance_rcrdq_cols),0))</f>
        <v>0.93</v>
      </c>
      <c r="J19">
        <f ca="1">RANK(I19,I:I,0)+COUNTIF($I$2:I19,I19)-1</f>
        <v>16</v>
      </c>
    </row>
    <row r="20" spans="1:10" x14ac:dyDescent="0.35">
      <c r="A20" t="s">
        <v>142</v>
      </c>
      <c r="B20" s="2">
        <v>783</v>
      </c>
      <c r="C20" s="4">
        <v>0.91</v>
      </c>
      <c r="D20" s="4">
        <v>0.86</v>
      </c>
      <c r="E20" s="4">
        <v>0.73</v>
      </c>
      <c r="F20" s="4">
        <v>0.9</v>
      </c>
      <c r="G20" s="4">
        <v>0.54</v>
      </c>
      <c r="I20" s="4" cm="1">
        <f t="array" aca="1" ref="I20" ca="1">INDEX(INDIRECT(alliance_rcrdq_table),(ROW()-ROW(INDIRECT(alliance_rcrdq_cols))),MATCH(selected_rcrdq_name_xc,INDIRECT(alliance_rcrdq_cols),0))</f>
        <v>0.91</v>
      </c>
      <c r="J20">
        <f ca="1">RANK(I20,I:I,0)+COUNTIF($I$2:I20,I20)-1</f>
        <v>20</v>
      </c>
    </row>
    <row r="21" spans="1:10" x14ac:dyDescent="0.35">
      <c r="A21" t="s">
        <v>145</v>
      </c>
      <c r="B21" s="2">
        <v>1462</v>
      </c>
      <c r="C21" s="4">
        <v>0.95</v>
      </c>
      <c r="D21" s="4">
        <v>0.84</v>
      </c>
      <c r="E21" s="4">
        <v>0.74</v>
      </c>
      <c r="F21" s="4">
        <v>0.98</v>
      </c>
      <c r="G21" s="4">
        <v>0.38</v>
      </c>
      <c r="I21" s="4" cm="1">
        <f t="array" aca="1" ref="I21" ca="1">INDEX(INDIRECT(alliance_rcrdq_table),(ROW()-ROW(INDIRECT(alliance_rcrdq_cols))),MATCH(selected_rcrdq_name_xc,INDIRECT(alliance_rcrdq_cols),0))</f>
        <v>0.95</v>
      </c>
      <c r="J21">
        <f ca="1">RANK(I21,I:I,0)+COUNTIF($I$2:I21,I21)-1</f>
        <v>9</v>
      </c>
    </row>
    <row r="22" spans="1:10" x14ac:dyDescent="0.35">
      <c r="A22" t="s">
        <v>93</v>
      </c>
      <c r="B22" s="2">
        <v>585</v>
      </c>
      <c r="C22" s="4">
        <v>0.98</v>
      </c>
      <c r="D22" s="4">
        <v>0.91</v>
      </c>
      <c r="E22" s="4">
        <v>0.61</v>
      </c>
      <c r="F22" s="4">
        <v>0.93</v>
      </c>
      <c r="G22" s="4">
        <v>0.3</v>
      </c>
      <c r="I22" s="4" cm="1">
        <f t="array" aca="1" ref="I22" ca="1">INDEX(INDIRECT(alliance_rcrdq_table),(ROW()-ROW(INDIRECT(alliance_rcrdq_cols))),MATCH(selected_rcrdq_name_xc,INDIRECT(alliance_rcrdq_cols),0))</f>
        <v>0.98</v>
      </c>
      <c r="J22">
        <f ca="1">RANK(I22,I:I,0)+COUNTIF($I$2:I22,I22)-1</f>
        <v>1</v>
      </c>
    </row>
  </sheetData>
  <sortState xmlns:xlrd2="http://schemas.microsoft.com/office/spreadsheetml/2017/richdata2" ref="A2:J22">
    <sortCondition ref="A2:A22"/>
  </sortState>
  <conditionalFormatting sqref="I2:I22">
    <cfRule type="top10" dxfId="15" priority="3" bottom="1" rank="1"/>
    <cfRule type="top10" dxfId="14" priority="4" rank="1"/>
  </conditionalFormatting>
  <conditionalFormatting sqref="J2:J22">
    <cfRule type="top10" dxfId="13" priority="1" bottom="1" rank="1"/>
    <cfRule type="top10" dxfId="12" priority="2" rank="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J4"/>
  <sheetViews>
    <sheetView workbookViewId="0"/>
  </sheetViews>
  <sheetFormatPr defaultRowHeight="14.5" x14ac:dyDescent="0.35"/>
  <cols>
    <col min="1" max="1" width="12.54296875" bestFit="1" customWidth="1"/>
    <col min="2" max="2" width="11.1796875" style="45" bestFit="1" customWidth="1"/>
    <col min="3" max="3" width="11.1796875" style="45" customWidth="1"/>
    <col min="4" max="4" width="10" customWidth="1"/>
    <col min="5" max="5" width="9.7265625" bestFit="1" customWidth="1"/>
    <col min="6" max="6" width="11.1796875" customWidth="1"/>
    <col min="7" max="7" width="10.1796875" customWidth="1"/>
    <col min="8" max="8" width="8.26953125" customWidth="1"/>
    <col min="9" max="9" width="19.81640625" customWidth="1"/>
    <col min="10" max="10" width="18.81640625" customWidth="1"/>
  </cols>
  <sheetData>
    <row r="1" spans="1:10" x14ac:dyDescent="0.35">
      <c r="A1" s="73" t="s">
        <v>329</v>
      </c>
      <c r="B1" s="73" t="s">
        <v>425</v>
      </c>
      <c r="C1" s="73" t="s">
        <v>64</v>
      </c>
      <c r="D1" s="73" t="s">
        <v>65</v>
      </c>
      <c r="E1" s="73" t="s">
        <v>66</v>
      </c>
      <c r="F1" s="73" t="s">
        <v>67</v>
      </c>
      <c r="G1" s="73" t="s">
        <v>68</v>
      </c>
      <c r="H1" t="s">
        <v>324</v>
      </c>
      <c r="I1" s="8" t="s">
        <v>327</v>
      </c>
      <c r="J1" s="8" t="s">
        <v>328</v>
      </c>
    </row>
    <row r="2" spans="1:10" x14ac:dyDescent="0.35">
      <c r="A2" s="79" t="s">
        <v>330</v>
      </c>
      <c r="B2" s="46">
        <v>13474</v>
      </c>
      <c r="C2">
        <v>0.94</v>
      </c>
      <c r="D2">
        <v>0.74</v>
      </c>
      <c r="E2">
        <v>0.59</v>
      </c>
      <c r="F2">
        <v>0.95</v>
      </c>
      <c r="G2">
        <v>0.34</v>
      </c>
      <c r="I2" s="120" cm="1">
        <f t="array" aca="1" ref="I2" ca="1">INDEX(national_rcrd_quality!$A$1:$G$2,(ROW()*ROW(national_rcrd_quality!$A$1:$G$1)),MATCH(selected_rcrdq_name_xc,national_rcrd_quality!$A$1:$G$1,0))</f>
        <v>0.94</v>
      </c>
      <c r="J2" s="18" t="s">
        <v>28</v>
      </c>
    </row>
    <row r="4" spans="1:10" x14ac:dyDescent="0.35">
      <c r="A4" s="2"/>
      <c r="D4" s="2"/>
      <c r="E4" s="2"/>
      <c r="F4" s="2"/>
      <c r="G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6634-D039-4900-BF52-06187CC5A13E}">
  <sheetPr>
    <tabColor theme="9" tint="0.79998168889431442"/>
  </sheetPr>
  <dimension ref="A1:T129"/>
  <sheetViews>
    <sheetView zoomScaleNormal="100" workbookViewId="0">
      <pane xSplit="3" ySplit="1" topLeftCell="D2" activePane="bottomRight" state="frozen"/>
      <selection activeCell="A52" sqref="A52:XFD52"/>
      <selection pane="topRight" activeCell="A52" sqref="A52:XFD52"/>
      <selection pane="bottomLeft" activeCell="A52" sqref="A52:XFD52"/>
      <selection pane="bottomRight" activeCell="A52" sqref="A52:XFD52"/>
    </sheetView>
  </sheetViews>
  <sheetFormatPr defaultRowHeight="14.5" x14ac:dyDescent="0.35"/>
  <cols>
    <col min="1" max="1" width="67.453125" bestFit="1" customWidth="1"/>
    <col min="2" max="2" width="10.26953125" bestFit="1" customWidth="1"/>
    <col min="3" max="3" width="43.453125" bestFit="1" customWidth="1"/>
    <col min="4" max="4" width="8.26953125" bestFit="1" customWidth="1"/>
    <col min="5" max="5" width="12.81640625" bestFit="1" customWidth="1"/>
    <col min="6" max="6" width="11.54296875" bestFit="1" customWidth="1"/>
    <col min="7" max="7" width="14.1796875" bestFit="1" customWidth="1"/>
    <col min="8" max="8" width="10.453125" bestFit="1" customWidth="1"/>
    <col min="9" max="9" width="17.7265625" bestFit="1" customWidth="1"/>
    <col min="10" max="10" width="16.7265625" bestFit="1" customWidth="1"/>
    <col min="11" max="11" width="25.1796875" bestFit="1" customWidth="1"/>
    <col min="12" max="12" width="19.26953125" bestFit="1" customWidth="1"/>
    <col min="13" max="13" width="19.7265625" bestFit="1" customWidth="1"/>
    <col min="14" max="14" width="7.81640625" bestFit="1" customWidth="1"/>
    <col min="15" max="15" width="8.81640625" bestFit="1" customWidth="1"/>
    <col min="16" max="16" width="5.54296875" bestFit="1" customWidth="1"/>
    <col min="18" max="18" width="31.26953125" style="4" bestFit="1" customWidth="1"/>
    <col min="19" max="19" width="30.26953125" bestFit="1" customWidth="1"/>
    <col min="20" max="20" width="27.453125" bestFit="1" customWidth="1"/>
  </cols>
  <sheetData>
    <row r="1" spans="1:20" x14ac:dyDescent="0.35">
      <c r="A1" s="73" t="s">
        <v>88</v>
      </c>
      <c r="B1" s="73" t="s">
        <v>89</v>
      </c>
      <c r="C1" s="73" t="s">
        <v>460</v>
      </c>
      <c r="D1" s="73" t="s">
        <v>425</v>
      </c>
      <c r="E1" s="73" t="s">
        <v>593</v>
      </c>
      <c r="F1" s="73" t="s">
        <v>592</v>
      </c>
      <c r="G1" s="73" t="s">
        <v>591</v>
      </c>
      <c r="H1" s="93" t="s">
        <v>646</v>
      </c>
      <c r="I1" s="73" t="s">
        <v>647</v>
      </c>
      <c r="J1" s="73" t="s">
        <v>648</v>
      </c>
      <c r="K1" s="73" t="s">
        <v>649</v>
      </c>
      <c r="L1" s="73" t="s">
        <v>650</v>
      </c>
      <c r="M1" s="73" t="s">
        <v>651</v>
      </c>
      <c r="N1" s="73" t="s">
        <v>652</v>
      </c>
      <c r="O1" s="73" t="s">
        <v>653</v>
      </c>
      <c r="P1" s="73" t="s">
        <v>654</v>
      </c>
      <c r="Q1" t="s">
        <v>324</v>
      </c>
      <c r="R1" s="92" t="s">
        <v>325</v>
      </c>
      <c r="S1" s="87" t="s">
        <v>326</v>
      </c>
      <c r="T1" s="1" t="s">
        <v>682</v>
      </c>
    </row>
    <row r="2" spans="1:20" x14ac:dyDescent="0.35">
      <c r="A2" t="s">
        <v>31</v>
      </c>
      <c r="B2" t="s">
        <v>92</v>
      </c>
      <c r="C2" t="s">
        <v>93</v>
      </c>
      <c r="D2" s="2">
        <v>44</v>
      </c>
      <c r="E2" s="2">
        <v>13</v>
      </c>
      <c r="F2" s="2">
        <v>6</v>
      </c>
      <c r="G2" s="2">
        <v>7</v>
      </c>
      <c r="H2" s="4">
        <v>0.64</v>
      </c>
      <c r="I2" s="4">
        <v>0.43</v>
      </c>
      <c r="J2" s="4">
        <v>0.02</v>
      </c>
      <c r="K2" s="4">
        <v>0.11</v>
      </c>
      <c r="L2" s="4">
        <v>0.02</v>
      </c>
      <c r="M2" s="4">
        <v>0.02</v>
      </c>
      <c r="N2" s="4">
        <v>0</v>
      </c>
      <c r="O2" s="4">
        <v>0</v>
      </c>
      <c r="P2" s="4">
        <v>0</v>
      </c>
      <c r="R2" s="4" cm="1">
        <f t="array" aca="1" ref="R2" ca="1">INDEX(INDIRECT(trust_cosdq_table),(ROW()-ROW(INDIRECT(trust_cosdq_cols))),MATCH(selected_cosdq_name_xc,INDIRECT(trust_cosdq_cols),0))</f>
        <v>0</v>
      </c>
      <c r="S2">
        <f ca="1">RANK(R2,R:R,0)+COUNTIF($R$2:R2,R2)-1</f>
        <v>52</v>
      </c>
      <c r="T2" cm="1">
        <f t="array" aca="1" ref="T2" ca="1">INDEX(INDIRECT(trust_cosdq_table),(ROW()-ROW(INDIRECT(trust_cosdq_cols))),MATCH(selected_cosdq_denom_xc,INDIRECT(trust_cosdq_cols),0))</f>
        <v>7</v>
      </c>
    </row>
    <row r="3" spans="1:20" x14ac:dyDescent="0.35">
      <c r="A3" t="s">
        <v>95</v>
      </c>
      <c r="B3" t="s">
        <v>96</v>
      </c>
      <c r="C3" t="s">
        <v>97</v>
      </c>
      <c r="D3" s="2">
        <v>59</v>
      </c>
      <c r="E3" s="2">
        <v>15</v>
      </c>
      <c r="F3" s="2">
        <v>8</v>
      </c>
      <c r="G3" s="2">
        <v>18</v>
      </c>
      <c r="H3" s="4">
        <v>0.57999999999999996</v>
      </c>
      <c r="I3" s="4">
        <v>0.44</v>
      </c>
      <c r="J3" s="4">
        <v>0</v>
      </c>
      <c r="K3" s="4">
        <v>0.03</v>
      </c>
      <c r="L3" s="4">
        <v>0</v>
      </c>
      <c r="M3" s="4">
        <v>0.02</v>
      </c>
      <c r="N3" s="4">
        <v>0.53</v>
      </c>
      <c r="O3" s="4">
        <v>0.38</v>
      </c>
      <c r="P3" s="4">
        <v>0.11</v>
      </c>
      <c r="R3" s="4" cm="1">
        <f t="array" aca="1" ref="R3" ca="1">INDEX(INDIRECT(trust_cosdq_table),(ROW()-ROW(INDIRECT(trust_cosdq_cols))),MATCH(selected_cosdq_name_xc,INDIRECT(trust_cosdq_cols),0))</f>
        <v>0.11</v>
      </c>
      <c r="S3">
        <f ca="1">RANK(R3,R:R,0)+COUNTIF($R$2:R3,R3)-1</f>
        <v>33</v>
      </c>
      <c r="T3" cm="1">
        <f t="array" aca="1" ref="T3" ca="1">INDEX(INDIRECT(trust_cosdq_table),(ROW()-ROW(INDIRECT(trust_cosdq_cols))),MATCH(selected_cosdq_denom_xc,INDIRECT(trust_cosdq_cols),0))</f>
        <v>18</v>
      </c>
    </row>
    <row r="4" spans="1:20" x14ac:dyDescent="0.35">
      <c r="A4" t="s">
        <v>99</v>
      </c>
      <c r="B4" t="s">
        <v>100</v>
      </c>
      <c r="C4" t="s">
        <v>101</v>
      </c>
      <c r="D4" s="2">
        <v>112</v>
      </c>
      <c r="E4" s="2">
        <v>19</v>
      </c>
      <c r="F4" s="2">
        <v>9</v>
      </c>
      <c r="G4" s="2">
        <v>40</v>
      </c>
      <c r="H4" s="4">
        <v>0.41</v>
      </c>
      <c r="I4" s="4">
        <v>0.42</v>
      </c>
      <c r="J4" s="4">
        <v>0.01</v>
      </c>
      <c r="K4" s="4">
        <v>0.04</v>
      </c>
      <c r="L4" s="4">
        <v>0.01</v>
      </c>
      <c r="M4" s="4">
        <v>0.02</v>
      </c>
      <c r="N4" s="4">
        <v>0.42</v>
      </c>
      <c r="O4" s="4">
        <v>0.44</v>
      </c>
      <c r="P4" s="4">
        <v>0.43</v>
      </c>
      <c r="R4" s="4" cm="1">
        <f t="array" aca="1" ref="R4" ca="1">INDEX(INDIRECT(trust_cosdq_table),(ROW()-ROW(INDIRECT(trust_cosdq_cols))),MATCH(selected_cosdq_name_xc,INDIRECT(trust_cosdq_cols),0))</f>
        <v>0.43</v>
      </c>
      <c r="S4">
        <f ca="1">RANK(R4,R:R,0)+COUNTIF($R$2:R4,R4)-1</f>
        <v>7</v>
      </c>
      <c r="T4" cm="1">
        <f t="array" aca="1" ref="T4" ca="1">INDEX(INDIRECT(trust_cosdq_table),(ROW()-ROW(INDIRECT(trust_cosdq_cols))),MATCH(selected_cosdq_denom_xc,INDIRECT(trust_cosdq_cols),0))</f>
        <v>40</v>
      </c>
    </row>
    <row r="5" spans="1:20" x14ac:dyDescent="0.35">
      <c r="A5" t="s">
        <v>18</v>
      </c>
      <c r="B5" t="s">
        <v>103</v>
      </c>
      <c r="C5" t="s">
        <v>104</v>
      </c>
      <c r="D5" s="2">
        <v>45</v>
      </c>
      <c r="E5" s="2">
        <v>7</v>
      </c>
      <c r="F5" s="2">
        <v>6</v>
      </c>
      <c r="G5" s="2">
        <v>1</v>
      </c>
      <c r="H5" s="4">
        <v>0.42</v>
      </c>
      <c r="I5" s="4">
        <v>0.28999999999999998</v>
      </c>
      <c r="J5" s="4">
        <v>0</v>
      </c>
      <c r="K5" s="4">
        <v>0</v>
      </c>
      <c r="L5" s="4">
        <v>0</v>
      </c>
      <c r="M5" s="4">
        <v>0</v>
      </c>
      <c r="N5" s="4">
        <v>0.86</v>
      </c>
      <c r="O5" s="4">
        <v>0</v>
      </c>
      <c r="P5" s="4">
        <v>0</v>
      </c>
      <c r="R5" s="4" cm="1">
        <f t="array" aca="1" ref="R5" ca="1">INDEX(INDIRECT(trust_cosdq_table),(ROW()-ROW(INDIRECT(trust_cosdq_cols))),MATCH(selected_cosdq_name_xc,INDIRECT(trust_cosdq_cols),0))</f>
        <v>0</v>
      </c>
      <c r="S5">
        <f ca="1">RANK(R5,R:R,0)+COUNTIF($R$2:R5,R5)-1</f>
        <v>53</v>
      </c>
      <c r="T5" cm="1">
        <f t="array" aca="1" ref="T5" ca="1">INDEX(INDIRECT(trust_cosdq_table),(ROW()-ROW(INDIRECT(trust_cosdq_cols))),MATCH(selected_cosdq_denom_xc,INDIRECT(trust_cosdq_cols),0))</f>
        <v>1</v>
      </c>
    </row>
    <row r="6" spans="1:20" x14ac:dyDescent="0.35">
      <c r="A6" t="s">
        <v>106</v>
      </c>
      <c r="B6" t="s">
        <v>107</v>
      </c>
      <c r="C6" t="s">
        <v>101</v>
      </c>
      <c r="D6" s="2">
        <v>105</v>
      </c>
      <c r="E6" s="2">
        <v>14</v>
      </c>
      <c r="F6" s="2">
        <v>12</v>
      </c>
      <c r="G6" s="2">
        <v>30</v>
      </c>
      <c r="H6" s="4">
        <v>0.02</v>
      </c>
      <c r="I6" s="4">
        <v>0.25</v>
      </c>
      <c r="J6" s="4">
        <v>0</v>
      </c>
      <c r="K6" s="4">
        <v>0.04</v>
      </c>
      <c r="L6" s="4">
        <v>0.01</v>
      </c>
      <c r="M6" s="4">
        <v>0</v>
      </c>
      <c r="N6" s="4">
        <v>7.0000000000000007E-2</v>
      </c>
      <c r="O6" s="4">
        <v>0</v>
      </c>
      <c r="P6" s="4">
        <v>0</v>
      </c>
      <c r="R6" s="4" cm="1">
        <f t="array" aca="1" ref="R6" ca="1">INDEX(INDIRECT(trust_cosdq_table),(ROW()-ROW(INDIRECT(trust_cosdq_cols))),MATCH(selected_cosdq_name_xc,INDIRECT(trust_cosdq_cols),0))</f>
        <v>0</v>
      </c>
      <c r="S6">
        <f ca="1">RANK(R6,R:R,0)+COUNTIF($R$2:R6,R6)-1</f>
        <v>54</v>
      </c>
      <c r="T6" cm="1">
        <f t="array" aca="1" ref="T6" ca="1">INDEX(INDIRECT(trust_cosdq_table),(ROW()-ROW(INDIRECT(trust_cosdq_cols))),MATCH(selected_cosdq_denom_xc,INDIRECT(trust_cosdq_cols),0))</f>
        <v>30</v>
      </c>
    </row>
    <row r="7" spans="1:20" x14ac:dyDescent="0.35">
      <c r="A7" t="s">
        <v>109</v>
      </c>
      <c r="B7" t="s">
        <v>110</v>
      </c>
      <c r="C7" t="s">
        <v>105</v>
      </c>
      <c r="D7" s="2">
        <v>109</v>
      </c>
      <c r="E7" s="2">
        <v>22</v>
      </c>
      <c r="F7" s="2">
        <v>21</v>
      </c>
      <c r="G7" s="2">
        <v>18</v>
      </c>
      <c r="H7" s="4">
        <v>0.46</v>
      </c>
      <c r="I7" s="4">
        <v>0.27</v>
      </c>
      <c r="J7" s="4">
        <v>0</v>
      </c>
      <c r="K7" s="4">
        <v>0.04</v>
      </c>
      <c r="L7" s="4">
        <v>0.01</v>
      </c>
      <c r="M7" s="4">
        <v>0</v>
      </c>
      <c r="N7" s="4">
        <v>0.27</v>
      </c>
      <c r="O7" s="4">
        <v>0</v>
      </c>
      <c r="P7" s="4">
        <v>0</v>
      </c>
      <c r="R7" s="4" cm="1">
        <f t="array" aca="1" ref="R7" ca="1">INDEX(INDIRECT(trust_cosdq_table),(ROW()-ROW(INDIRECT(trust_cosdq_cols))),MATCH(selected_cosdq_name_xc,INDIRECT(trust_cosdq_cols),0))</f>
        <v>0</v>
      </c>
      <c r="S7">
        <f ca="1">RANK(R7,R:R,0)+COUNTIF($R$2:R7,R7)-1</f>
        <v>55</v>
      </c>
      <c r="T7" cm="1">
        <f t="array" aca="1" ref="T7" ca="1">INDEX(INDIRECT(trust_cosdq_table),(ROW()-ROW(INDIRECT(trust_cosdq_cols))),MATCH(selected_cosdq_denom_xc,INDIRECT(trust_cosdq_cols),0))</f>
        <v>18</v>
      </c>
    </row>
    <row r="8" spans="1:20" x14ac:dyDescent="0.35">
      <c r="A8" t="s">
        <v>111</v>
      </c>
      <c r="B8" t="s">
        <v>112</v>
      </c>
      <c r="C8" t="s">
        <v>113</v>
      </c>
      <c r="D8" s="2">
        <v>200</v>
      </c>
      <c r="E8" s="2">
        <v>74</v>
      </c>
      <c r="F8" s="2">
        <v>28</v>
      </c>
      <c r="G8" s="2">
        <v>34</v>
      </c>
      <c r="H8" s="4">
        <v>0.63</v>
      </c>
      <c r="I8" s="4">
        <v>0.5</v>
      </c>
      <c r="J8" s="4">
        <v>0.01</v>
      </c>
      <c r="K8" s="4">
        <v>0.01</v>
      </c>
      <c r="L8" s="4">
        <v>0.01</v>
      </c>
      <c r="M8" s="4">
        <v>0.04</v>
      </c>
      <c r="N8" s="4">
        <v>0.32</v>
      </c>
      <c r="O8" s="4">
        <v>0.25</v>
      </c>
      <c r="P8" s="4">
        <v>0.21</v>
      </c>
      <c r="Q8" s="2"/>
      <c r="R8" s="4" cm="1">
        <f t="array" aca="1" ref="R8" ca="1">INDEX(INDIRECT(trust_cosdq_table),(ROW()-ROW(INDIRECT(trust_cosdq_cols))),MATCH(selected_cosdq_name_xc,INDIRECT(trust_cosdq_cols),0))</f>
        <v>0.21</v>
      </c>
      <c r="S8">
        <f ca="1">RANK(R8,R:R,0)+COUNTIF($R$2:R8,R8)-1</f>
        <v>19</v>
      </c>
      <c r="T8" cm="1">
        <f t="array" aca="1" ref="T8" ca="1">INDEX(INDIRECT(trust_cosdq_table),(ROW()-ROW(INDIRECT(trust_cosdq_cols))),MATCH(selected_cosdq_denom_xc,INDIRECT(trust_cosdq_cols),0))</f>
        <v>34</v>
      </c>
    </row>
    <row r="9" spans="1:20" x14ac:dyDescent="0.35">
      <c r="A9" t="s">
        <v>115</v>
      </c>
      <c r="B9" t="s">
        <v>116</v>
      </c>
      <c r="C9" t="s">
        <v>108</v>
      </c>
      <c r="D9" s="2">
        <v>57</v>
      </c>
      <c r="E9" s="2">
        <v>23</v>
      </c>
      <c r="F9" s="2">
        <v>11</v>
      </c>
      <c r="G9" s="2">
        <v>10</v>
      </c>
      <c r="H9" s="4">
        <v>0.3</v>
      </c>
      <c r="I9" s="4">
        <v>0.32</v>
      </c>
      <c r="J9" s="4">
        <v>0</v>
      </c>
      <c r="K9" s="4">
        <v>0.02</v>
      </c>
      <c r="L9" s="4">
        <v>0</v>
      </c>
      <c r="M9" s="4">
        <v>0.09</v>
      </c>
      <c r="N9" s="4">
        <v>0.09</v>
      </c>
      <c r="O9" s="4">
        <v>0.27</v>
      </c>
      <c r="P9" s="4">
        <v>0</v>
      </c>
      <c r="R9" s="4" cm="1">
        <f t="array" aca="1" ref="R9" ca="1">INDEX(INDIRECT(trust_cosdq_table),(ROW()-ROW(INDIRECT(trust_cosdq_cols))),MATCH(selected_cosdq_name_xc,INDIRECT(trust_cosdq_cols),0))</f>
        <v>0</v>
      </c>
      <c r="S9">
        <f ca="1">RANK(R9,R:R,0)+COUNTIF($R$2:R9,R9)-1</f>
        <v>56</v>
      </c>
      <c r="T9" cm="1">
        <f t="array" aca="1" ref="T9" ca="1">INDEX(INDIRECT(trust_cosdq_table),(ROW()-ROW(INDIRECT(trust_cosdq_cols))),MATCH(selected_cosdq_denom_xc,INDIRECT(trust_cosdq_cols),0))</f>
        <v>10</v>
      </c>
    </row>
    <row r="10" spans="1:20" x14ac:dyDescent="0.35">
      <c r="A10" t="s">
        <v>117</v>
      </c>
      <c r="B10" t="s">
        <v>118</v>
      </c>
      <c r="C10" t="s">
        <v>93</v>
      </c>
      <c r="D10" s="2">
        <v>77</v>
      </c>
      <c r="E10" s="2">
        <v>21</v>
      </c>
      <c r="F10" s="2">
        <v>13</v>
      </c>
      <c r="G10" s="2">
        <v>15</v>
      </c>
      <c r="H10" s="4">
        <v>0.7</v>
      </c>
      <c r="I10" s="4">
        <v>0.38</v>
      </c>
      <c r="J10" s="4">
        <v>0</v>
      </c>
      <c r="K10" s="4">
        <v>0.1</v>
      </c>
      <c r="L10" s="4">
        <v>0.01</v>
      </c>
      <c r="M10" s="4">
        <v>0</v>
      </c>
      <c r="N10" s="4">
        <v>0</v>
      </c>
      <c r="O10" s="4">
        <v>0</v>
      </c>
      <c r="P10" s="4">
        <v>0</v>
      </c>
      <c r="R10" s="4" cm="1">
        <f t="array" aca="1" ref="R10" ca="1">INDEX(INDIRECT(trust_cosdq_table),(ROW()-ROW(INDIRECT(trust_cosdq_cols))),MATCH(selected_cosdq_name_xc,INDIRECT(trust_cosdq_cols),0))</f>
        <v>0</v>
      </c>
      <c r="S10">
        <f ca="1">RANK(R10,R:R,0)+COUNTIF($R$2:R10,R10)-1</f>
        <v>57</v>
      </c>
      <c r="T10" cm="1">
        <f t="array" aca="1" ref="T10" ca="1">INDEX(INDIRECT(trust_cosdq_table),(ROW()-ROW(INDIRECT(trust_cosdq_cols))),MATCH(selected_cosdq_denom_xc,INDIRECT(trust_cosdq_cols),0))</f>
        <v>15</v>
      </c>
    </row>
    <row r="11" spans="1:20" x14ac:dyDescent="0.35">
      <c r="A11" t="s">
        <v>120</v>
      </c>
      <c r="B11" t="s">
        <v>121</v>
      </c>
      <c r="C11" t="s">
        <v>122</v>
      </c>
      <c r="D11" s="2">
        <v>125</v>
      </c>
      <c r="E11" s="2">
        <v>43</v>
      </c>
      <c r="F11" s="2">
        <v>18</v>
      </c>
      <c r="G11" s="2">
        <v>23</v>
      </c>
      <c r="H11" s="4">
        <v>0.69</v>
      </c>
      <c r="I11" s="4">
        <v>0.15</v>
      </c>
      <c r="J11" s="4">
        <v>0.02</v>
      </c>
      <c r="K11" s="4">
        <v>0.06</v>
      </c>
      <c r="L11" s="4">
        <v>0.01</v>
      </c>
      <c r="M11" s="4">
        <v>0</v>
      </c>
      <c r="N11" s="4">
        <v>0</v>
      </c>
      <c r="O11" s="4">
        <v>0</v>
      </c>
      <c r="P11" s="4">
        <v>0</v>
      </c>
      <c r="R11" s="4" cm="1">
        <f t="array" aca="1" ref="R11" ca="1">INDEX(INDIRECT(trust_cosdq_table),(ROW()-ROW(INDIRECT(trust_cosdq_cols))),MATCH(selected_cosdq_name_xc,INDIRECT(trust_cosdq_cols),0))</f>
        <v>0</v>
      </c>
      <c r="S11">
        <f ca="1">RANK(R11,R:R,0)+COUNTIF($R$2:R11,R11)-1</f>
        <v>58</v>
      </c>
      <c r="T11" cm="1">
        <f t="array" aca="1" ref="T11" ca="1">INDEX(INDIRECT(trust_cosdq_table),(ROW()-ROW(INDIRECT(trust_cosdq_cols))),MATCH(selected_cosdq_denom_xc,INDIRECT(trust_cosdq_cols),0))</f>
        <v>23</v>
      </c>
    </row>
    <row r="12" spans="1:20" x14ac:dyDescent="0.35">
      <c r="A12" t="s">
        <v>503</v>
      </c>
      <c r="B12" t="s">
        <v>123</v>
      </c>
      <c r="C12" t="s">
        <v>93</v>
      </c>
      <c r="D12" s="2">
        <v>97</v>
      </c>
      <c r="E12" s="2">
        <v>26</v>
      </c>
      <c r="F12" s="2">
        <v>13</v>
      </c>
      <c r="G12" s="2">
        <v>25</v>
      </c>
      <c r="H12" s="4">
        <v>0.66</v>
      </c>
      <c r="I12" s="4">
        <v>0.46</v>
      </c>
      <c r="J12" s="4">
        <v>0</v>
      </c>
      <c r="K12" s="4">
        <v>0.11</v>
      </c>
      <c r="L12" s="4">
        <v>0.01</v>
      </c>
      <c r="M12" s="4">
        <v>0</v>
      </c>
      <c r="N12" s="4">
        <v>0.08</v>
      </c>
      <c r="O12" s="4">
        <v>0</v>
      </c>
      <c r="P12" s="4">
        <v>0</v>
      </c>
      <c r="R12" s="4" cm="1">
        <f t="array" aca="1" ref="R12" ca="1">INDEX(INDIRECT(trust_cosdq_table),(ROW()-ROW(INDIRECT(trust_cosdq_cols))),MATCH(selected_cosdq_name_xc,INDIRECT(trust_cosdq_cols),0))</f>
        <v>0</v>
      </c>
      <c r="S12">
        <f ca="1">RANK(R12,R:R,0)+COUNTIF($R$2:R12,R12)-1</f>
        <v>59</v>
      </c>
      <c r="T12" cm="1">
        <f t="array" aca="1" ref="T12" ca="1">INDEX(INDIRECT(trust_cosdq_table),(ROW()-ROW(INDIRECT(trust_cosdq_cols))),MATCH(selected_cosdq_denom_xc,INDIRECT(trust_cosdq_cols),0))</f>
        <v>25</v>
      </c>
    </row>
    <row r="13" spans="1:20" x14ac:dyDescent="0.35">
      <c r="A13" t="s">
        <v>125</v>
      </c>
      <c r="B13" t="s">
        <v>126</v>
      </c>
      <c r="C13" t="s">
        <v>102</v>
      </c>
      <c r="D13" s="2">
        <v>105</v>
      </c>
      <c r="E13" s="2"/>
      <c r="F13" s="2">
        <v>16</v>
      </c>
      <c r="G13" s="2">
        <v>2</v>
      </c>
      <c r="H13" s="4">
        <v>0.38</v>
      </c>
      <c r="I13" s="4">
        <v>0.41</v>
      </c>
      <c r="J13" s="4">
        <v>0.02</v>
      </c>
      <c r="K13" s="4">
        <v>7.0000000000000007E-2</v>
      </c>
      <c r="L13" s="4">
        <v>0</v>
      </c>
      <c r="M13" s="4">
        <v>0</v>
      </c>
      <c r="N13" s="4">
        <v>0</v>
      </c>
      <c r="O13" s="4">
        <v>0</v>
      </c>
      <c r="P13" s="4">
        <v>0</v>
      </c>
      <c r="R13" s="4" cm="1">
        <f t="array" aca="1" ref="R13" ca="1">INDEX(INDIRECT(trust_cosdq_table),(ROW()-ROW(INDIRECT(trust_cosdq_cols))),MATCH(selected_cosdq_name_xc,INDIRECT(trust_cosdq_cols),0))</f>
        <v>0</v>
      </c>
      <c r="S13">
        <f ca="1">RANK(R13,R:R,0)+COUNTIF($R$2:R13,R13)-1</f>
        <v>60</v>
      </c>
      <c r="T13" cm="1">
        <f t="array" aca="1" ref="T13" ca="1">INDEX(INDIRECT(trust_cosdq_table),(ROW()-ROW(INDIRECT(trust_cosdq_cols))),MATCH(selected_cosdq_denom_xc,INDIRECT(trust_cosdq_cols),0))</f>
        <v>2</v>
      </c>
    </row>
    <row r="14" spans="1:20" x14ac:dyDescent="0.35">
      <c r="A14" t="s">
        <v>128</v>
      </c>
      <c r="B14" t="s">
        <v>129</v>
      </c>
      <c r="C14" t="s">
        <v>462</v>
      </c>
      <c r="D14" s="2">
        <v>76</v>
      </c>
      <c r="E14" s="2">
        <v>13</v>
      </c>
      <c r="F14" s="2">
        <v>12</v>
      </c>
      <c r="G14" s="2">
        <v>22</v>
      </c>
      <c r="H14" s="4">
        <v>0.46</v>
      </c>
      <c r="I14" s="4">
        <v>0.33</v>
      </c>
      <c r="J14" s="4">
        <v>0</v>
      </c>
      <c r="K14" s="4">
        <v>0</v>
      </c>
      <c r="L14" s="4">
        <v>0.01</v>
      </c>
      <c r="M14" s="4">
        <v>0</v>
      </c>
      <c r="N14" s="4">
        <v>0.38</v>
      </c>
      <c r="O14" s="4">
        <v>0</v>
      </c>
      <c r="P14" s="4">
        <v>0</v>
      </c>
      <c r="R14" s="4" cm="1">
        <f t="array" aca="1" ref="R14" ca="1">INDEX(INDIRECT(trust_cosdq_table),(ROW()-ROW(INDIRECT(trust_cosdq_cols))),MATCH(selected_cosdq_name_xc,INDIRECT(trust_cosdq_cols),0))</f>
        <v>0</v>
      </c>
      <c r="S14">
        <f ca="1">RANK(R14,R:R,0)+COUNTIF($R$2:R14,R14)-1</f>
        <v>61</v>
      </c>
      <c r="T14" cm="1">
        <f t="array" aca="1" ref="T14" ca="1">INDEX(INDIRECT(trust_cosdq_table),(ROW()-ROW(INDIRECT(trust_cosdq_cols))),MATCH(selected_cosdq_denom_xc,INDIRECT(trust_cosdq_cols),0))</f>
        <v>22</v>
      </c>
    </row>
    <row r="15" spans="1:20" x14ac:dyDescent="0.35">
      <c r="A15" t="s">
        <v>130</v>
      </c>
      <c r="B15" t="s">
        <v>131</v>
      </c>
      <c r="C15" t="s">
        <v>104</v>
      </c>
      <c r="D15" s="2">
        <v>87</v>
      </c>
      <c r="E15" s="2">
        <v>19</v>
      </c>
      <c r="F15" s="2">
        <v>12</v>
      </c>
      <c r="G15" s="2">
        <v>9</v>
      </c>
      <c r="H15" s="4">
        <v>0.72</v>
      </c>
      <c r="I15" s="4">
        <v>0.59</v>
      </c>
      <c r="J15" s="4">
        <v>0</v>
      </c>
      <c r="K15" s="4">
        <v>0.02</v>
      </c>
      <c r="L15" s="4">
        <v>0.01</v>
      </c>
      <c r="M15" s="4">
        <v>0</v>
      </c>
      <c r="N15" s="4">
        <v>0.95</v>
      </c>
      <c r="O15" s="4">
        <v>0</v>
      </c>
      <c r="P15" s="4">
        <v>0</v>
      </c>
      <c r="R15" s="4" cm="1">
        <f t="array" aca="1" ref="R15" ca="1">INDEX(INDIRECT(trust_cosdq_table),(ROW()-ROW(INDIRECT(trust_cosdq_cols))),MATCH(selected_cosdq_name_xc,INDIRECT(trust_cosdq_cols),0))</f>
        <v>0</v>
      </c>
      <c r="S15">
        <f ca="1">RANK(R15,R:R,0)+COUNTIF($R$2:R15,R15)-1</f>
        <v>62</v>
      </c>
      <c r="T15" cm="1">
        <f t="array" aca="1" ref="T15" ca="1">INDEX(INDIRECT(trust_cosdq_table),(ROW()-ROW(INDIRECT(trust_cosdq_cols))),MATCH(selected_cosdq_denom_xc,INDIRECT(trust_cosdq_cols),0))</f>
        <v>9</v>
      </c>
    </row>
    <row r="16" spans="1:20" x14ac:dyDescent="0.35">
      <c r="A16" t="s">
        <v>468</v>
      </c>
      <c r="B16" t="s">
        <v>276</v>
      </c>
      <c r="C16" t="s">
        <v>108</v>
      </c>
      <c r="D16" s="2">
        <v>45</v>
      </c>
      <c r="E16" s="2"/>
      <c r="F16" s="2">
        <v>3</v>
      </c>
      <c r="G16" s="2">
        <v>7</v>
      </c>
      <c r="H16" s="4">
        <v>0</v>
      </c>
      <c r="I16" s="4">
        <v>0.2</v>
      </c>
      <c r="J16" s="4">
        <v>0.02</v>
      </c>
      <c r="K16" s="4">
        <v>0.09</v>
      </c>
      <c r="L16" s="4">
        <v>0</v>
      </c>
      <c r="M16" s="4">
        <v>0.11</v>
      </c>
      <c r="N16" s="4">
        <v>0</v>
      </c>
      <c r="O16" s="4">
        <v>0</v>
      </c>
      <c r="P16" s="4">
        <v>0</v>
      </c>
      <c r="R16" s="4" cm="1">
        <f t="array" aca="1" ref="R16" ca="1">INDEX(INDIRECT(trust_cosdq_table),(ROW()-ROW(INDIRECT(trust_cosdq_cols))),MATCH(selected_cosdq_name_xc,INDIRECT(trust_cosdq_cols),0))</f>
        <v>0</v>
      </c>
      <c r="S16">
        <f ca="1">RANK(R16,R:R,0)+COUNTIF($R$2:R16,R16)-1</f>
        <v>63</v>
      </c>
      <c r="T16" cm="1">
        <f t="array" aca="1" ref="T16" ca="1">INDEX(INDIRECT(trust_cosdq_table),(ROW()-ROW(INDIRECT(trust_cosdq_cols))),MATCH(selected_cosdq_denom_xc,INDIRECT(trust_cosdq_cols),0))</f>
        <v>7</v>
      </c>
    </row>
    <row r="17" spans="1:20" x14ac:dyDescent="0.35">
      <c r="A17" t="s">
        <v>473</v>
      </c>
      <c r="B17" t="s">
        <v>277</v>
      </c>
      <c r="C17" t="s">
        <v>94</v>
      </c>
      <c r="D17" s="2">
        <v>123</v>
      </c>
      <c r="E17" s="2">
        <v>3</v>
      </c>
      <c r="F17" s="2">
        <v>20</v>
      </c>
      <c r="G17" s="2">
        <v>60</v>
      </c>
      <c r="H17" s="4">
        <v>0.26</v>
      </c>
      <c r="I17" s="4">
        <v>0.61</v>
      </c>
      <c r="J17" s="4">
        <v>0.01</v>
      </c>
      <c r="K17" s="4">
        <v>0.08</v>
      </c>
      <c r="L17" s="4">
        <v>0.01</v>
      </c>
      <c r="M17" s="4">
        <v>0.02</v>
      </c>
      <c r="N17" s="4">
        <v>0.33</v>
      </c>
      <c r="O17" s="4">
        <v>0.15</v>
      </c>
      <c r="P17" s="4">
        <v>0.13</v>
      </c>
      <c r="R17" s="4" cm="1">
        <f t="array" aca="1" ref="R17" ca="1">INDEX(INDIRECT(trust_cosdq_table),(ROW()-ROW(INDIRECT(trust_cosdq_cols))),MATCH(selected_cosdq_name_xc,INDIRECT(trust_cosdq_cols),0))</f>
        <v>0.13</v>
      </c>
      <c r="S17">
        <f ca="1">RANK(R17,R:R,0)+COUNTIF($R$2:R17,R17)-1</f>
        <v>29</v>
      </c>
      <c r="T17" cm="1">
        <f t="array" aca="1" ref="T17" ca="1">INDEX(INDIRECT(trust_cosdq_table),(ROW()-ROW(INDIRECT(trust_cosdq_cols))),MATCH(selected_cosdq_denom_xc,INDIRECT(trust_cosdq_cols),0))</f>
        <v>60</v>
      </c>
    </row>
    <row r="18" spans="1:20" x14ac:dyDescent="0.35">
      <c r="A18" t="s">
        <v>481</v>
      </c>
      <c r="B18" t="s">
        <v>132</v>
      </c>
      <c r="C18" t="s">
        <v>94</v>
      </c>
      <c r="D18" s="2">
        <v>61</v>
      </c>
      <c r="E18" s="2">
        <v>16</v>
      </c>
      <c r="F18" s="2">
        <v>9</v>
      </c>
      <c r="G18" s="2">
        <v>17</v>
      </c>
      <c r="H18" s="4">
        <v>0.75</v>
      </c>
      <c r="I18" s="4">
        <v>0.44</v>
      </c>
      <c r="J18" s="4">
        <v>0</v>
      </c>
      <c r="K18" s="4">
        <v>0.03</v>
      </c>
      <c r="L18" s="4">
        <v>0.02</v>
      </c>
      <c r="M18" s="4">
        <v>0</v>
      </c>
      <c r="N18" s="4">
        <v>0.38</v>
      </c>
      <c r="O18" s="4">
        <v>0</v>
      </c>
      <c r="P18" s="4">
        <v>0.24</v>
      </c>
      <c r="R18" s="4" cm="1">
        <f t="array" aca="1" ref="R18" ca="1">INDEX(INDIRECT(trust_cosdq_table),(ROW()-ROW(INDIRECT(trust_cosdq_cols))),MATCH(selected_cosdq_name_xc,INDIRECT(trust_cosdq_cols),0))</f>
        <v>0.24</v>
      </c>
      <c r="S18">
        <f ca="1">RANK(R18,R:R,0)+COUNTIF($R$2:R18,R18)-1</f>
        <v>14</v>
      </c>
      <c r="T18" cm="1">
        <f t="array" aca="1" ref="T18" ca="1">INDEX(INDIRECT(trust_cosdq_table),(ROW()-ROW(INDIRECT(trust_cosdq_cols))),MATCH(selected_cosdq_denom_xc,INDIRECT(trust_cosdq_cols),0))</f>
        <v>17</v>
      </c>
    </row>
    <row r="19" spans="1:20" x14ac:dyDescent="0.35">
      <c r="A19" t="s">
        <v>134</v>
      </c>
      <c r="B19" t="s">
        <v>135</v>
      </c>
      <c r="C19" t="s">
        <v>124</v>
      </c>
      <c r="D19" s="2">
        <v>93</v>
      </c>
      <c r="E19" s="2">
        <v>34</v>
      </c>
      <c r="F19" s="2">
        <v>8</v>
      </c>
      <c r="G19" s="2">
        <v>23</v>
      </c>
      <c r="H19" s="4">
        <v>0.49</v>
      </c>
      <c r="I19" s="4">
        <v>0.37</v>
      </c>
      <c r="J19" s="4">
        <v>0</v>
      </c>
      <c r="K19" s="4">
        <v>0.09</v>
      </c>
      <c r="L19" s="4">
        <v>0.02</v>
      </c>
      <c r="M19" s="4">
        <v>0.01</v>
      </c>
      <c r="N19" s="4">
        <v>0.47</v>
      </c>
      <c r="O19" s="4">
        <v>0.75</v>
      </c>
      <c r="P19" s="4">
        <v>0.43</v>
      </c>
      <c r="R19" s="4" cm="1">
        <f t="array" aca="1" ref="R19" ca="1">INDEX(INDIRECT(trust_cosdq_table),(ROW()-ROW(INDIRECT(trust_cosdq_cols))),MATCH(selected_cosdq_name_xc,INDIRECT(trust_cosdq_cols),0))</f>
        <v>0.43</v>
      </c>
      <c r="S19">
        <f ca="1">RANK(R19,R:R,0)+COUNTIF($R$2:R19,R19)-1</f>
        <v>8</v>
      </c>
      <c r="T19" cm="1">
        <f t="array" aca="1" ref="T19" ca="1">INDEX(INDIRECT(trust_cosdq_table),(ROW()-ROW(INDIRECT(trust_cosdq_cols))),MATCH(selected_cosdq_denom_xc,INDIRECT(trust_cosdq_cols),0))</f>
        <v>23</v>
      </c>
    </row>
    <row r="20" spans="1:20" x14ac:dyDescent="0.35">
      <c r="A20" t="s">
        <v>136</v>
      </c>
      <c r="B20" t="s">
        <v>137</v>
      </c>
      <c r="C20" t="s">
        <v>462</v>
      </c>
      <c r="D20" s="2">
        <v>46</v>
      </c>
      <c r="E20" s="2">
        <v>6</v>
      </c>
      <c r="F20" s="2">
        <v>5</v>
      </c>
      <c r="G20" s="2">
        <v>14</v>
      </c>
      <c r="H20" s="4">
        <v>0.61</v>
      </c>
      <c r="I20" s="4">
        <v>0.61</v>
      </c>
      <c r="J20" s="4">
        <v>0</v>
      </c>
      <c r="K20" s="4">
        <v>0</v>
      </c>
      <c r="L20" s="4">
        <v>0</v>
      </c>
      <c r="M20" s="4">
        <v>0.04</v>
      </c>
      <c r="N20" s="4">
        <v>0.83</v>
      </c>
      <c r="O20" s="4">
        <v>0</v>
      </c>
      <c r="P20" s="4">
        <v>0.14000000000000001</v>
      </c>
      <c r="R20" s="4" cm="1">
        <f t="array" aca="1" ref="R20" ca="1">INDEX(INDIRECT(trust_cosdq_table),(ROW()-ROW(INDIRECT(trust_cosdq_cols))),MATCH(selected_cosdq_name_xc,INDIRECT(trust_cosdq_cols),0))</f>
        <v>0.14000000000000001</v>
      </c>
      <c r="S20">
        <f ca="1">RANK(R20,R:R,0)+COUNTIF($R$2:R20,R20)-1</f>
        <v>28</v>
      </c>
      <c r="T20" cm="1">
        <f t="array" aca="1" ref="T20" ca="1">INDEX(INDIRECT(trust_cosdq_table),(ROW()-ROW(INDIRECT(trust_cosdq_cols))),MATCH(selected_cosdq_denom_xc,INDIRECT(trust_cosdq_cols),0))</f>
        <v>14</v>
      </c>
    </row>
    <row r="21" spans="1:20" x14ac:dyDescent="0.35">
      <c r="A21" t="s">
        <v>138</v>
      </c>
      <c r="B21" t="s">
        <v>139</v>
      </c>
      <c r="C21" t="s">
        <v>114</v>
      </c>
      <c r="D21" s="2">
        <v>64</v>
      </c>
      <c r="E21" s="2">
        <v>14</v>
      </c>
      <c r="F21" s="2">
        <v>6</v>
      </c>
      <c r="G21" s="2">
        <v>23</v>
      </c>
      <c r="H21" s="4">
        <v>0.63</v>
      </c>
      <c r="I21" s="4">
        <v>0.42</v>
      </c>
      <c r="J21" s="4">
        <v>0</v>
      </c>
      <c r="K21" s="4">
        <v>0.03</v>
      </c>
      <c r="L21" s="4">
        <v>0</v>
      </c>
      <c r="M21" s="4">
        <v>0.06</v>
      </c>
      <c r="N21" s="4">
        <v>0</v>
      </c>
      <c r="O21" s="4">
        <v>0</v>
      </c>
      <c r="P21" s="4">
        <v>0.35</v>
      </c>
      <c r="R21" s="4" cm="1">
        <f t="array" aca="1" ref="R21" ca="1">INDEX(INDIRECT(trust_cosdq_table),(ROW()-ROW(INDIRECT(trust_cosdq_cols))),MATCH(selected_cosdq_name_xc,INDIRECT(trust_cosdq_cols),0))</f>
        <v>0.35</v>
      </c>
      <c r="S21">
        <f ca="1">RANK(R21,R:R,0)+COUNTIF($R$2:R21,R21)-1</f>
        <v>10</v>
      </c>
      <c r="T21" cm="1">
        <f t="array" aca="1" ref="T21" ca="1">INDEX(INDIRECT(trust_cosdq_table),(ROW()-ROW(INDIRECT(trust_cosdq_cols))),MATCH(selected_cosdq_denom_xc,INDIRECT(trust_cosdq_cols),0))</f>
        <v>23</v>
      </c>
    </row>
    <row r="22" spans="1:20" x14ac:dyDescent="0.35">
      <c r="A22" t="s">
        <v>140</v>
      </c>
      <c r="B22" t="s">
        <v>141</v>
      </c>
      <c r="C22" t="s">
        <v>104</v>
      </c>
      <c r="D22" s="2">
        <v>73</v>
      </c>
      <c r="E22" s="2">
        <v>5</v>
      </c>
      <c r="F22" s="2">
        <v>15</v>
      </c>
      <c r="G22" s="2">
        <v>4</v>
      </c>
      <c r="H22" s="4">
        <v>0.47</v>
      </c>
      <c r="I22" s="4">
        <v>0.4</v>
      </c>
      <c r="J22" s="4">
        <v>0</v>
      </c>
      <c r="K22" s="4">
        <v>0.05</v>
      </c>
      <c r="L22" s="4">
        <v>0.04</v>
      </c>
      <c r="M22" s="4">
        <v>0.01</v>
      </c>
      <c r="N22" s="4">
        <v>0.8</v>
      </c>
      <c r="O22" s="4">
        <v>0</v>
      </c>
      <c r="P22" s="4">
        <v>0</v>
      </c>
      <c r="R22" s="4" cm="1">
        <f t="array" aca="1" ref="R22" ca="1">INDEX(INDIRECT(trust_cosdq_table),(ROW()-ROW(INDIRECT(trust_cosdq_cols))),MATCH(selected_cosdq_name_xc,INDIRECT(trust_cosdq_cols),0))</f>
        <v>0</v>
      </c>
      <c r="S22">
        <f ca="1">RANK(R22,R:R,0)+COUNTIF($R$2:R22,R22)-1</f>
        <v>64</v>
      </c>
      <c r="T22" cm="1">
        <f t="array" aca="1" ref="T22" ca="1">INDEX(INDIRECT(trust_cosdq_table),(ROW()-ROW(INDIRECT(trust_cosdq_cols))),MATCH(selected_cosdq_denom_xc,INDIRECT(trust_cosdq_cols),0))</f>
        <v>4</v>
      </c>
    </row>
    <row r="23" spans="1:20" x14ac:dyDescent="0.35">
      <c r="A23" t="s">
        <v>143</v>
      </c>
      <c r="B23" t="s">
        <v>144</v>
      </c>
      <c r="C23" t="s">
        <v>142</v>
      </c>
      <c r="D23" s="2">
        <v>60</v>
      </c>
      <c r="E23" s="2">
        <v>22</v>
      </c>
      <c r="F23" s="2">
        <v>8</v>
      </c>
      <c r="G23" s="2">
        <v>14</v>
      </c>
      <c r="H23" s="4">
        <v>0.67</v>
      </c>
      <c r="I23" s="4">
        <v>0.48</v>
      </c>
      <c r="J23" s="4">
        <v>0.03</v>
      </c>
      <c r="K23" s="4">
        <v>0.15</v>
      </c>
      <c r="L23" s="4">
        <v>7.0000000000000007E-2</v>
      </c>
      <c r="M23" s="4">
        <v>0</v>
      </c>
      <c r="N23" s="4">
        <v>0.14000000000000001</v>
      </c>
      <c r="O23" s="4">
        <v>0</v>
      </c>
      <c r="P23" s="4">
        <v>0</v>
      </c>
      <c r="R23" s="4" cm="1">
        <f t="array" aca="1" ref="R23" ca="1">INDEX(INDIRECT(trust_cosdq_table),(ROW()-ROW(INDIRECT(trust_cosdq_cols))),MATCH(selected_cosdq_name_xc,INDIRECT(trust_cosdq_cols),0))</f>
        <v>0</v>
      </c>
      <c r="S23">
        <f ca="1">RANK(R23,R:R,0)+COUNTIF($R$2:R23,R23)-1</f>
        <v>65</v>
      </c>
      <c r="T23" cm="1">
        <f t="array" aca="1" ref="T23" ca="1">INDEX(INDIRECT(trust_cosdq_table),(ROW()-ROW(INDIRECT(trust_cosdq_cols))),MATCH(selected_cosdq_denom_xc,INDIRECT(trust_cosdq_cols),0))</f>
        <v>14</v>
      </c>
    </row>
    <row r="24" spans="1:20" x14ac:dyDescent="0.35">
      <c r="A24" t="s">
        <v>487</v>
      </c>
      <c r="B24" t="s">
        <v>278</v>
      </c>
      <c r="C24" t="s">
        <v>145</v>
      </c>
      <c r="D24" s="2">
        <v>83</v>
      </c>
      <c r="E24" s="2">
        <v>15</v>
      </c>
      <c r="F24" s="2">
        <v>10</v>
      </c>
      <c r="G24" s="2">
        <v>23</v>
      </c>
      <c r="H24" s="4">
        <v>0.06</v>
      </c>
      <c r="I24" s="4">
        <v>0.31</v>
      </c>
      <c r="J24" s="4">
        <v>0</v>
      </c>
      <c r="K24" s="4">
        <v>0.04</v>
      </c>
      <c r="L24" s="4">
        <v>0.01</v>
      </c>
      <c r="M24" s="4">
        <v>0</v>
      </c>
      <c r="N24" s="4">
        <v>0.53</v>
      </c>
      <c r="O24" s="4">
        <v>0.2</v>
      </c>
      <c r="P24" s="4">
        <v>0.13</v>
      </c>
      <c r="R24" s="4" cm="1">
        <f t="array" aca="1" ref="R24" ca="1">INDEX(INDIRECT(trust_cosdq_table),(ROW()-ROW(INDIRECT(trust_cosdq_cols))),MATCH(selected_cosdq_name_xc,INDIRECT(trust_cosdq_cols),0))</f>
        <v>0.13</v>
      </c>
      <c r="S24">
        <f ca="1">RANK(R24,R:R,0)+COUNTIF($R$2:R24,R24)-1</f>
        <v>30</v>
      </c>
      <c r="T24" cm="1">
        <f t="array" aca="1" ref="T24" ca="1">INDEX(INDIRECT(trust_cosdq_table),(ROW()-ROW(INDIRECT(trust_cosdq_cols))),MATCH(selected_cosdq_denom_xc,INDIRECT(trust_cosdq_cols),0))</f>
        <v>23</v>
      </c>
    </row>
    <row r="25" spans="1:20" x14ac:dyDescent="0.35">
      <c r="A25" t="s">
        <v>146</v>
      </c>
      <c r="B25" t="s">
        <v>147</v>
      </c>
      <c r="C25" t="s">
        <v>105</v>
      </c>
      <c r="D25" s="2">
        <v>51</v>
      </c>
      <c r="E25" s="2">
        <v>2</v>
      </c>
      <c r="F25" s="2">
        <v>11</v>
      </c>
      <c r="G25" s="2">
        <v>1</v>
      </c>
      <c r="H25" s="4">
        <v>0.41</v>
      </c>
      <c r="I25" s="4">
        <v>0.51</v>
      </c>
      <c r="J25" s="4">
        <v>0</v>
      </c>
      <c r="K25" s="4">
        <v>0.08</v>
      </c>
      <c r="L25" s="4">
        <v>0.06</v>
      </c>
      <c r="M25" s="4">
        <v>0.02</v>
      </c>
      <c r="N25" s="4">
        <v>0</v>
      </c>
      <c r="O25" s="4">
        <v>0</v>
      </c>
      <c r="P25" s="4">
        <v>0</v>
      </c>
      <c r="R25" s="4" cm="1">
        <f t="array" aca="1" ref="R25" ca="1">INDEX(INDIRECT(trust_cosdq_table),(ROW()-ROW(INDIRECT(trust_cosdq_cols))),MATCH(selected_cosdq_name_xc,INDIRECT(trust_cosdq_cols),0))</f>
        <v>0</v>
      </c>
      <c r="S25">
        <f ca="1">RANK(R25,R:R,0)+COUNTIF($R$2:R25,R25)-1</f>
        <v>66</v>
      </c>
      <c r="T25" cm="1">
        <f t="array" aca="1" ref="T25" ca="1">INDEX(INDIRECT(trust_cosdq_table),(ROW()-ROW(INDIRECT(trust_cosdq_cols))),MATCH(selected_cosdq_denom_xc,INDIRECT(trust_cosdq_cols),0))</f>
        <v>1</v>
      </c>
    </row>
    <row r="26" spans="1:20" x14ac:dyDescent="0.35">
      <c r="A26" t="s">
        <v>148</v>
      </c>
      <c r="B26" t="s">
        <v>149</v>
      </c>
      <c r="C26" t="s">
        <v>94</v>
      </c>
      <c r="D26" s="2">
        <v>18</v>
      </c>
      <c r="E26" s="2">
        <v>2</v>
      </c>
      <c r="F26" s="2">
        <v>1</v>
      </c>
      <c r="G26" s="2">
        <v>3</v>
      </c>
      <c r="H26" s="4">
        <v>0</v>
      </c>
      <c r="I26" s="4">
        <v>0.33</v>
      </c>
      <c r="J26" s="4">
        <v>0</v>
      </c>
      <c r="K26" s="4">
        <v>0.06</v>
      </c>
      <c r="L26" s="4">
        <v>0.06</v>
      </c>
      <c r="M26" s="4">
        <v>0.11</v>
      </c>
      <c r="N26" s="4">
        <v>0</v>
      </c>
      <c r="O26" s="4">
        <v>0</v>
      </c>
      <c r="P26" s="4">
        <v>0</v>
      </c>
      <c r="R26" s="4" cm="1">
        <f t="array" aca="1" ref="R26" ca="1">INDEX(INDIRECT(trust_cosdq_table),(ROW()-ROW(INDIRECT(trust_cosdq_cols))),MATCH(selected_cosdq_name_xc,INDIRECT(trust_cosdq_cols),0))</f>
        <v>0</v>
      </c>
      <c r="S26">
        <f ca="1">RANK(R26,R:R,0)+COUNTIF($R$2:R26,R26)-1</f>
        <v>67</v>
      </c>
      <c r="T26" cm="1">
        <f t="array" aca="1" ref="T26" ca="1">INDEX(INDIRECT(trust_cosdq_table),(ROW()-ROW(INDIRECT(trust_cosdq_cols))),MATCH(selected_cosdq_denom_xc,INDIRECT(trust_cosdq_cols),0))</f>
        <v>3</v>
      </c>
    </row>
    <row r="27" spans="1:20" x14ac:dyDescent="0.35">
      <c r="A27" t="s">
        <v>151</v>
      </c>
      <c r="B27" t="s">
        <v>152</v>
      </c>
      <c r="C27" t="s">
        <v>114</v>
      </c>
      <c r="D27" s="2">
        <v>173</v>
      </c>
      <c r="E27" s="2">
        <v>25</v>
      </c>
      <c r="F27" s="2">
        <v>28</v>
      </c>
      <c r="G27" s="2">
        <v>39</v>
      </c>
      <c r="H27" s="4">
        <v>0.54</v>
      </c>
      <c r="I27" s="4">
        <v>0.34</v>
      </c>
      <c r="J27" s="4">
        <v>0</v>
      </c>
      <c r="K27" s="4">
        <v>0.04</v>
      </c>
      <c r="L27" s="4">
        <v>0.03</v>
      </c>
      <c r="M27" s="4">
        <v>0.04</v>
      </c>
      <c r="N27" s="4">
        <v>0.36</v>
      </c>
      <c r="O27" s="4">
        <v>0</v>
      </c>
      <c r="P27" s="4">
        <v>0</v>
      </c>
      <c r="R27" s="4" cm="1">
        <f t="array" aca="1" ref="R27" ca="1">INDEX(INDIRECT(trust_cosdq_table),(ROW()-ROW(INDIRECT(trust_cosdq_cols))),MATCH(selected_cosdq_name_xc,INDIRECT(trust_cosdq_cols),0))</f>
        <v>0</v>
      </c>
      <c r="S27">
        <f ca="1">RANK(R27,R:R,0)+COUNTIF($R$2:R27,R27)-1</f>
        <v>68</v>
      </c>
      <c r="T27" cm="1">
        <f t="array" aca="1" ref="T27" ca="1">INDEX(INDIRECT(trust_cosdq_table),(ROW()-ROW(INDIRECT(trust_cosdq_cols))),MATCH(selected_cosdq_denom_xc,INDIRECT(trust_cosdq_cols),0))</f>
        <v>39</v>
      </c>
    </row>
    <row r="28" spans="1:20" x14ac:dyDescent="0.35">
      <c r="A28" t="s">
        <v>153</v>
      </c>
      <c r="B28" t="s">
        <v>154</v>
      </c>
      <c r="C28" t="s">
        <v>113</v>
      </c>
      <c r="D28" s="2">
        <v>97</v>
      </c>
      <c r="E28" s="2">
        <v>31</v>
      </c>
      <c r="F28" s="2">
        <v>16</v>
      </c>
      <c r="G28" s="2">
        <v>21</v>
      </c>
      <c r="H28" s="4">
        <v>0.55000000000000004</v>
      </c>
      <c r="I28" s="4">
        <v>0.54</v>
      </c>
      <c r="J28" s="4">
        <v>0</v>
      </c>
      <c r="K28" s="4">
        <v>0</v>
      </c>
      <c r="L28" s="4">
        <v>0</v>
      </c>
      <c r="M28" s="4">
        <v>0</v>
      </c>
      <c r="N28" s="4">
        <v>0.97</v>
      </c>
      <c r="O28" s="4">
        <v>1</v>
      </c>
      <c r="P28" s="4">
        <v>0.67</v>
      </c>
      <c r="R28" s="4" cm="1">
        <f t="array" aca="1" ref="R28" ca="1">INDEX(INDIRECT(trust_cosdq_table),(ROW()-ROW(INDIRECT(trust_cosdq_cols))),MATCH(selected_cosdq_name_xc,INDIRECT(trust_cosdq_cols),0))</f>
        <v>0.67</v>
      </c>
      <c r="S28">
        <f ca="1">RANK(R28,R:R,0)+COUNTIF($R$2:R28,R28)-1</f>
        <v>3</v>
      </c>
      <c r="T28" cm="1">
        <f t="array" aca="1" ref="T28" ca="1">INDEX(INDIRECT(trust_cosdq_table),(ROW()-ROW(INDIRECT(trust_cosdq_cols))),MATCH(selected_cosdq_denom_xc,INDIRECT(trust_cosdq_cols),0))</f>
        <v>21</v>
      </c>
    </row>
    <row r="29" spans="1:20" x14ac:dyDescent="0.35">
      <c r="A29" t="s">
        <v>156</v>
      </c>
      <c r="B29" t="s">
        <v>157</v>
      </c>
      <c r="C29" t="s">
        <v>102</v>
      </c>
      <c r="D29" s="2">
        <v>180</v>
      </c>
      <c r="E29" s="2">
        <v>20</v>
      </c>
      <c r="F29" s="2">
        <v>25</v>
      </c>
      <c r="G29" s="2">
        <v>43</v>
      </c>
      <c r="H29" s="4">
        <v>0.32</v>
      </c>
      <c r="I29" s="4">
        <v>0.55000000000000004</v>
      </c>
      <c r="J29" s="4">
        <v>0</v>
      </c>
      <c r="K29" s="4">
        <v>0.14000000000000001</v>
      </c>
      <c r="L29" s="4">
        <v>0.03</v>
      </c>
      <c r="M29" s="4">
        <v>0</v>
      </c>
      <c r="N29" s="4">
        <v>0.4</v>
      </c>
      <c r="O29" s="4">
        <v>0</v>
      </c>
      <c r="P29" s="4">
        <v>0</v>
      </c>
      <c r="R29" s="4" cm="1">
        <f t="array" aca="1" ref="R29" ca="1">INDEX(INDIRECT(trust_cosdq_table),(ROW()-ROW(INDIRECT(trust_cosdq_cols))),MATCH(selected_cosdq_name_xc,INDIRECT(trust_cosdq_cols),0))</f>
        <v>0</v>
      </c>
      <c r="S29">
        <f ca="1">RANK(R29,R:R,0)+COUNTIF($R$2:R29,R29)-1</f>
        <v>69</v>
      </c>
      <c r="T29" cm="1">
        <f t="array" aca="1" ref="T29" ca="1">INDEX(INDIRECT(trust_cosdq_table),(ROW()-ROW(INDIRECT(trust_cosdq_cols))),MATCH(selected_cosdq_denom_xc,INDIRECT(trust_cosdq_cols),0))</f>
        <v>43</v>
      </c>
    </row>
    <row r="30" spans="1:20" x14ac:dyDescent="0.35">
      <c r="A30" t="s">
        <v>158</v>
      </c>
      <c r="B30" t="s">
        <v>159</v>
      </c>
      <c r="C30" t="s">
        <v>97</v>
      </c>
      <c r="D30" s="2">
        <v>93</v>
      </c>
      <c r="E30" s="2">
        <v>9</v>
      </c>
      <c r="F30" s="2">
        <v>17</v>
      </c>
      <c r="G30" s="2">
        <v>24</v>
      </c>
      <c r="H30" s="4">
        <v>0.04</v>
      </c>
      <c r="I30" s="4">
        <v>0.28000000000000003</v>
      </c>
      <c r="J30" s="4">
        <v>0</v>
      </c>
      <c r="K30" s="4">
        <v>0.02</v>
      </c>
      <c r="L30" s="4">
        <v>0</v>
      </c>
      <c r="M30" s="4">
        <v>0.01</v>
      </c>
      <c r="N30" s="4">
        <v>0.22</v>
      </c>
      <c r="O30" s="4">
        <v>0</v>
      </c>
      <c r="P30" s="4">
        <v>0</v>
      </c>
      <c r="R30" s="4" cm="1">
        <f t="array" aca="1" ref="R30" ca="1">INDEX(INDIRECT(trust_cosdq_table),(ROW()-ROW(INDIRECT(trust_cosdq_cols))),MATCH(selected_cosdq_name_xc,INDIRECT(trust_cosdq_cols),0))</f>
        <v>0</v>
      </c>
      <c r="S30">
        <f ca="1">RANK(R30,R:R,0)+COUNTIF($R$2:R30,R30)-1</f>
        <v>70</v>
      </c>
      <c r="T30" cm="1">
        <f t="array" aca="1" ref="T30" ca="1">INDEX(INDIRECT(trust_cosdq_table),(ROW()-ROW(INDIRECT(trust_cosdq_cols))),MATCH(selected_cosdq_denom_xc,INDIRECT(trust_cosdq_cols),0))</f>
        <v>24</v>
      </c>
    </row>
    <row r="31" spans="1:20" x14ac:dyDescent="0.35">
      <c r="A31" t="s">
        <v>498</v>
      </c>
      <c r="B31" t="s">
        <v>160</v>
      </c>
      <c r="C31" t="s">
        <v>462</v>
      </c>
      <c r="D31" s="2">
        <v>64</v>
      </c>
      <c r="E31" s="2">
        <v>9</v>
      </c>
      <c r="F31" s="2">
        <v>6</v>
      </c>
      <c r="G31" s="2">
        <v>16</v>
      </c>
      <c r="H31" s="4">
        <v>0.22</v>
      </c>
      <c r="I31" s="4">
        <v>0.27</v>
      </c>
      <c r="J31" s="4">
        <v>0</v>
      </c>
      <c r="K31" s="4">
        <v>0.03</v>
      </c>
      <c r="L31" s="4">
        <v>0</v>
      </c>
      <c r="M31" s="4">
        <v>0</v>
      </c>
      <c r="N31" s="4">
        <v>0.44</v>
      </c>
      <c r="O31" s="4">
        <v>0</v>
      </c>
      <c r="P31" s="4">
        <v>0</v>
      </c>
      <c r="R31" s="4" cm="1">
        <f t="array" aca="1" ref="R31" ca="1">INDEX(INDIRECT(trust_cosdq_table),(ROW()-ROW(INDIRECT(trust_cosdq_cols))),MATCH(selected_cosdq_name_xc,INDIRECT(trust_cosdq_cols),0))</f>
        <v>0</v>
      </c>
      <c r="S31">
        <f ca="1">RANK(R31,R:R,0)+COUNTIF($R$2:R31,R31)-1</f>
        <v>71</v>
      </c>
      <c r="T31" cm="1">
        <f t="array" aca="1" ref="T31" ca="1">INDEX(INDIRECT(trust_cosdq_table),(ROW()-ROW(INDIRECT(trust_cosdq_cols))),MATCH(selected_cosdq_denom_xc,INDIRECT(trust_cosdq_cols),0))</f>
        <v>16</v>
      </c>
    </row>
    <row r="32" spans="1:20" x14ac:dyDescent="0.35">
      <c r="A32" t="s">
        <v>161</v>
      </c>
      <c r="B32" t="s">
        <v>162</v>
      </c>
      <c r="C32" t="s">
        <v>97</v>
      </c>
      <c r="D32" s="2">
        <v>170</v>
      </c>
      <c r="E32" s="2">
        <v>34</v>
      </c>
      <c r="F32" s="2">
        <v>27</v>
      </c>
      <c r="G32" s="2">
        <v>43</v>
      </c>
      <c r="H32" s="4">
        <v>0.3</v>
      </c>
      <c r="I32" s="4">
        <v>0.39</v>
      </c>
      <c r="J32" s="4">
        <v>0.02</v>
      </c>
      <c r="K32" s="4">
        <v>7.0000000000000007E-2</v>
      </c>
      <c r="L32" s="4">
        <v>0.02</v>
      </c>
      <c r="M32" s="4">
        <v>0</v>
      </c>
      <c r="N32" s="4">
        <v>0</v>
      </c>
      <c r="O32" s="4">
        <v>0</v>
      </c>
      <c r="P32" s="4">
        <v>0</v>
      </c>
      <c r="R32" s="4" cm="1">
        <f t="array" aca="1" ref="R32" ca="1">INDEX(INDIRECT(trust_cosdq_table),(ROW()-ROW(INDIRECT(trust_cosdq_cols))),MATCH(selected_cosdq_name_xc,INDIRECT(trust_cosdq_cols),0))</f>
        <v>0</v>
      </c>
      <c r="S32">
        <f ca="1">RANK(R32,R:R,0)+COUNTIF($R$2:R32,R32)-1</f>
        <v>72</v>
      </c>
      <c r="T32" cm="1">
        <f t="array" aca="1" ref="T32" ca="1">INDEX(INDIRECT(trust_cosdq_table),(ROW()-ROW(INDIRECT(trust_cosdq_cols))),MATCH(selected_cosdq_denom_xc,INDIRECT(trust_cosdq_cols),0))</f>
        <v>43</v>
      </c>
    </row>
    <row r="33" spans="1:20" x14ac:dyDescent="0.35">
      <c r="A33" t="s">
        <v>163</v>
      </c>
      <c r="B33" t="s">
        <v>164</v>
      </c>
      <c r="C33" t="s">
        <v>124</v>
      </c>
      <c r="D33" s="2">
        <v>36</v>
      </c>
      <c r="E33" s="2">
        <v>1</v>
      </c>
      <c r="F33" s="2">
        <v>8</v>
      </c>
      <c r="G33" s="2">
        <v>6</v>
      </c>
      <c r="H33" s="4">
        <v>0.47</v>
      </c>
      <c r="I33" s="4">
        <v>0.5</v>
      </c>
      <c r="J33" s="4">
        <v>0.06</v>
      </c>
      <c r="K33" s="4">
        <v>0.08</v>
      </c>
      <c r="L33" s="4">
        <v>0</v>
      </c>
      <c r="M33" s="4">
        <v>0.19</v>
      </c>
      <c r="N33" s="4">
        <v>1</v>
      </c>
      <c r="O33" s="4">
        <v>0</v>
      </c>
      <c r="P33" s="4">
        <v>0</v>
      </c>
      <c r="R33" s="4" cm="1">
        <f t="array" aca="1" ref="R33" ca="1">INDEX(INDIRECT(trust_cosdq_table),(ROW()-ROW(INDIRECT(trust_cosdq_cols))),MATCH(selected_cosdq_name_xc,INDIRECT(trust_cosdq_cols),0))</f>
        <v>0</v>
      </c>
      <c r="S33">
        <f ca="1">RANK(R33,R:R,0)+COUNTIF($R$2:R33,R33)-1</f>
        <v>73</v>
      </c>
      <c r="T33" cm="1">
        <f t="array" aca="1" ref="T33" ca="1">INDEX(INDIRECT(trust_cosdq_table),(ROW()-ROW(INDIRECT(trust_cosdq_cols))),MATCH(selected_cosdq_denom_xc,INDIRECT(trust_cosdq_cols),0))</f>
        <v>6</v>
      </c>
    </row>
    <row r="34" spans="1:20" x14ac:dyDescent="0.35">
      <c r="A34" t="s">
        <v>165</v>
      </c>
      <c r="B34" t="s">
        <v>166</v>
      </c>
      <c r="C34" t="s">
        <v>145</v>
      </c>
      <c r="D34" s="2">
        <v>29</v>
      </c>
      <c r="E34" s="2">
        <v>8</v>
      </c>
      <c r="F34" s="2">
        <v>2</v>
      </c>
      <c r="G34" s="2">
        <v>5</v>
      </c>
      <c r="H34" s="4">
        <v>0.69</v>
      </c>
      <c r="I34" s="4">
        <v>0.41</v>
      </c>
      <c r="J34" s="4">
        <v>0</v>
      </c>
      <c r="K34" s="4">
        <v>0</v>
      </c>
      <c r="L34" s="4">
        <v>0</v>
      </c>
      <c r="M34" s="4">
        <v>0</v>
      </c>
      <c r="N34" s="4">
        <v>0.75</v>
      </c>
      <c r="O34" s="4">
        <v>1</v>
      </c>
      <c r="P34" s="4">
        <v>0</v>
      </c>
      <c r="R34" s="4" cm="1">
        <f t="array" aca="1" ref="R34" ca="1">INDEX(INDIRECT(trust_cosdq_table),(ROW()-ROW(INDIRECT(trust_cosdq_cols))),MATCH(selected_cosdq_name_xc,INDIRECT(trust_cosdq_cols),0))</f>
        <v>0</v>
      </c>
      <c r="S34">
        <f ca="1">RANK(R34,R:R,0)+COUNTIF($R$2:R34,R34)-1</f>
        <v>74</v>
      </c>
      <c r="T34" cm="1">
        <f t="array" aca="1" ref="T34" ca="1">INDEX(INDIRECT(trust_cosdq_table),(ROW()-ROW(INDIRECT(trust_cosdq_cols))),MATCH(selected_cosdq_denom_xc,INDIRECT(trust_cosdq_cols),0))</f>
        <v>5</v>
      </c>
    </row>
    <row r="35" spans="1:20" x14ac:dyDescent="0.35">
      <c r="A35" s="9" t="s">
        <v>167</v>
      </c>
      <c r="B35" t="s">
        <v>168</v>
      </c>
      <c r="C35" t="s">
        <v>464</v>
      </c>
      <c r="D35" s="2">
        <v>130</v>
      </c>
      <c r="E35" s="2">
        <v>2</v>
      </c>
      <c r="F35" s="2">
        <v>19</v>
      </c>
      <c r="G35" s="2">
        <v>14</v>
      </c>
      <c r="H35" s="4">
        <v>0.18</v>
      </c>
      <c r="I35" s="4">
        <v>0.32</v>
      </c>
      <c r="J35" s="4">
        <v>0</v>
      </c>
      <c r="K35" s="4">
        <v>0.05</v>
      </c>
      <c r="L35" s="4">
        <v>0.04</v>
      </c>
      <c r="M35" s="4">
        <v>0.02</v>
      </c>
      <c r="N35" s="4">
        <v>0</v>
      </c>
      <c r="O35" s="4">
        <v>0</v>
      </c>
      <c r="P35" s="4">
        <v>0</v>
      </c>
      <c r="R35" s="4" cm="1">
        <f t="array" aca="1" ref="R35" ca="1">INDEX(INDIRECT(trust_cosdq_table),(ROW()-ROW(INDIRECT(trust_cosdq_cols))),MATCH(selected_cosdq_name_xc,INDIRECT(trust_cosdq_cols),0))</f>
        <v>0</v>
      </c>
      <c r="S35">
        <f ca="1">RANK(R35,R:R,0)+COUNTIF($R$2:R35,R35)-1</f>
        <v>75</v>
      </c>
      <c r="T35" cm="1">
        <f t="array" aca="1" ref="T35" ca="1">INDEX(INDIRECT(trust_cosdq_table),(ROW()-ROW(INDIRECT(trust_cosdq_cols))),MATCH(selected_cosdq_denom_xc,INDIRECT(trust_cosdq_cols),0))</f>
        <v>14</v>
      </c>
    </row>
    <row r="36" spans="1:20" x14ac:dyDescent="0.35">
      <c r="A36" t="s">
        <v>169</v>
      </c>
      <c r="B36" t="s">
        <v>170</v>
      </c>
      <c r="C36" t="s">
        <v>122</v>
      </c>
      <c r="D36" s="2">
        <v>95</v>
      </c>
      <c r="E36" s="2">
        <v>19</v>
      </c>
      <c r="F36" s="2">
        <v>12</v>
      </c>
      <c r="G36" s="2">
        <v>35</v>
      </c>
      <c r="H36" s="4">
        <v>0.64</v>
      </c>
      <c r="I36" s="4">
        <v>0.49</v>
      </c>
      <c r="J36" s="4">
        <v>0</v>
      </c>
      <c r="K36" s="4">
        <v>0.05</v>
      </c>
      <c r="L36" s="4">
        <v>0.01</v>
      </c>
      <c r="M36" s="4">
        <v>0</v>
      </c>
      <c r="N36" s="4">
        <v>0.74</v>
      </c>
      <c r="O36" s="4">
        <v>0</v>
      </c>
      <c r="P36" s="4">
        <v>0</v>
      </c>
      <c r="R36" s="4" cm="1">
        <f t="array" aca="1" ref="R36" ca="1">INDEX(INDIRECT(trust_cosdq_table),(ROW()-ROW(INDIRECT(trust_cosdq_cols))),MATCH(selected_cosdq_name_xc,INDIRECT(trust_cosdq_cols),0))</f>
        <v>0</v>
      </c>
      <c r="S36">
        <f ca="1">RANK(R36,R:R,0)+COUNTIF($R$2:R36,R36)-1</f>
        <v>76</v>
      </c>
      <c r="T36" cm="1">
        <f t="array" aca="1" ref="T36" ca="1">INDEX(INDIRECT(trust_cosdq_table),(ROW()-ROW(INDIRECT(trust_cosdq_cols))),MATCH(selected_cosdq_denom_xc,INDIRECT(trust_cosdq_cols),0))</f>
        <v>35</v>
      </c>
    </row>
    <row r="37" spans="1:20" x14ac:dyDescent="0.35">
      <c r="A37" t="s">
        <v>171</v>
      </c>
      <c r="B37" t="s">
        <v>172</v>
      </c>
      <c r="C37" t="s">
        <v>133</v>
      </c>
      <c r="D37" s="2">
        <v>154</v>
      </c>
      <c r="E37" s="2">
        <v>1</v>
      </c>
      <c r="F37" s="2">
        <v>16</v>
      </c>
      <c r="G37" s="2">
        <v>11</v>
      </c>
      <c r="H37" s="4">
        <v>0.11</v>
      </c>
      <c r="I37" s="4">
        <v>0.2</v>
      </c>
      <c r="J37" s="4">
        <v>0</v>
      </c>
      <c r="K37" s="4">
        <v>0.05</v>
      </c>
      <c r="L37" s="4">
        <v>0</v>
      </c>
      <c r="M37" s="4">
        <v>0.02</v>
      </c>
      <c r="N37" s="4">
        <v>1</v>
      </c>
      <c r="O37" s="4">
        <v>0</v>
      </c>
      <c r="P37" s="4">
        <v>0</v>
      </c>
      <c r="R37" s="4" cm="1">
        <f t="array" aca="1" ref="R37" ca="1">INDEX(INDIRECT(trust_cosdq_table),(ROW()-ROW(INDIRECT(trust_cosdq_cols))),MATCH(selected_cosdq_name_xc,INDIRECT(trust_cosdq_cols),0))</f>
        <v>0</v>
      </c>
      <c r="S37">
        <f ca="1">RANK(R37,R:R,0)+COUNTIF($R$2:R37,R37)-1</f>
        <v>77</v>
      </c>
      <c r="T37" cm="1">
        <f t="array" aca="1" ref="T37" ca="1">INDEX(INDIRECT(trust_cosdq_table),(ROW()-ROW(INDIRECT(trust_cosdq_cols))),MATCH(selected_cosdq_denom_xc,INDIRECT(trust_cosdq_cols),0))</f>
        <v>11</v>
      </c>
    </row>
    <row r="38" spans="1:20" x14ac:dyDescent="0.35">
      <c r="A38" t="s">
        <v>173</v>
      </c>
      <c r="B38" t="s">
        <v>174</v>
      </c>
      <c r="C38" t="s">
        <v>142</v>
      </c>
      <c r="D38" s="2">
        <v>105</v>
      </c>
      <c r="E38" s="2">
        <v>17</v>
      </c>
      <c r="F38" s="2">
        <v>11</v>
      </c>
      <c r="G38" s="2">
        <v>36</v>
      </c>
      <c r="H38" s="4">
        <v>0.62</v>
      </c>
      <c r="I38" s="4">
        <v>0.61</v>
      </c>
      <c r="J38" s="4">
        <v>0</v>
      </c>
      <c r="K38" s="4">
        <v>7.0000000000000007E-2</v>
      </c>
      <c r="L38" s="4">
        <v>0.01</v>
      </c>
      <c r="M38" s="4">
        <v>0.01</v>
      </c>
      <c r="N38" s="4">
        <v>0.28999999999999998</v>
      </c>
      <c r="O38" s="4">
        <v>0</v>
      </c>
      <c r="P38" s="4">
        <v>0.03</v>
      </c>
      <c r="R38" s="4" cm="1">
        <f t="array" aca="1" ref="R38" ca="1">INDEX(INDIRECT(trust_cosdq_table),(ROW()-ROW(INDIRECT(trust_cosdq_cols))),MATCH(selected_cosdq_name_xc,INDIRECT(trust_cosdq_cols),0))</f>
        <v>0.03</v>
      </c>
      <c r="S38">
        <f ca="1">RANK(R38,R:R,0)+COUNTIF($R$2:R38,R38)-1</f>
        <v>46</v>
      </c>
      <c r="T38" cm="1">
        <f t="array" aca="1" ref="T38" ca="1">INDEX(INDIRECT(trust_cosdq_table),(ROW()-ROW(INDIRECT(trust_cosdq_cols))),MATCH(selected_cosdq_denom_xc,INDIRECT(trust_cosdq_cols),0))</f>
        <v>36</v>
      </c>
    </row>
    <row r="39" spans="1:20" x14ac:dyDescent="0.35">
      <c r="A39" t="s">
        <v>175</v>
      </c>
      <c r="B39" t="s">
        <v>176</v>
      </c>
      <c r="C39" t="s">
        <v>93</v>
      </c>
      <c r="D39" s="2">
        <v>45</v>
      </c>
      <c r="E39" s="2">
        <v>8</v>
      </c>
      <c r="F39" s="2">
        <v>8</v>
      </c>
      <c r="G39" s="2">
        <v>11</v>
      </c>
      <c r="H39" s="4">
        <v>0.51</v>
      </c>
      <c r="I39" s="4">
        <v>0.4</v>
      </c>
      <c r="J39" s="4">
        <v>0</v>
      </c>
      <c r="K39" s="4">
        <v>7.0000000000000007E-2</v>
      </c>
      <c r="L39" s="4">
        <v>0.02</v>
      </c>
      <c r="M39" s="4">
        <v>0.16</v>
      </c>
      <c r="N39" s="4">
        <v>0.25</v>
      </c>
      <c r="O39" s="4">
        <v>0</v>
      </c>
      <c r="P39" s="4">
        <v>0</v>
      </c>
      <c r="R39" s="4" cm="1">
        <f t="array" aca="1" ref="R39" ca="1">INDEX(INDIRECT(trust_cosdq_table),(ROW()-ROW(INDIRECT(trust_cosdq_cols))),MATCH(selected_cosdq_name_xc,INDIRECT(trust_cosdq_cols),0))</f>
        <v>0</v>
      </c>
      <c r="S39">
        <f ca="1">RANK(R39,R:R,0)+COUNTIF($R$2:R39,R39)-1</f>
        <v>78</v>
      </c>
      <c r="T39" cm="1">
        <f t="array" aca="1" ref="T39" ca="1">INDEX(INDIRECT(trust_cosdq_table),(ROW()-ROW(INDIRECT(trust_cosdq_cols))),MATCH(selected_cosdq_denom_xc,INDIRECT(trust_cosdq_cols),0))</f>
        <v>11</v>
      </c>
    </row>
    <row r="40" spans="1:20" x14ac:dyDescent="0.35">
      <c r="A40" t="s">
        <v>466</v>
      </c>
      <c r="B40" t="s">
        <v>279</v>
      </c>
      <c r="C40" t="s">
        <v>462</v>
      </c>
      <c r="D40" s="2">
        <v>45</v>
      </c>
      <c r="E40" s="2">
        <v>14</v>
      </c>
      <c r="F40" s="2">
        <v>4</v>
      </c>
      <c r="G40" s="2">
        <v>16</v>
      </c>
      <c r="H40" s="4">
        <v>0.76</v>
      </c>
      <c r="I40" s="4">
        <v>0.31</v>
      </c>
      <c r="J40" s="4">
        <v>0</v>
      </c>
      <c r="K40" s="4">
        <v>0</v>
      </c>
      <c r="L40" s="4">
        <v>0</v>
      </c>
      <c r="M40" s="4">
        <v>0</v>
      </c>
      <c r="N40" s="4">
        <v>0.5</v>
      </c>
      <c r="O40" s="4">
        <v>0</v>
      </c>
      <c r="P40" s="4">
        <v>0</v>
      </c>
      <c r="R40" s="4" cm="1">
        <f t="array" aca="1" ref="R40" ca="1">INDEX(INDIRECT(trust_cosdq_table),(ROW()-ROW(INDIRECT(trust_cosdq_cols))),MATCH(selected_cosdq_name_xc,INDIRECT(trust_cosdq_cols),0))</f>
        <v>0</v>
      </c>
      <c r="S40">
        <f ca="1">RANK(R40,R:R,0)+COUNTIF($R$2:R40,R40)-1</f>
        <v>79</v>
      </c>
      <c r="T40" cm="1">
        <f t="array" aca="1" ref="T40" ca="1">INDEX(INDIRECT(trust_cosdq_table),(ROW()-ROW(INDIRECT(trust_cosdq_cols))),MATCH(selected_cosdq_denom_xc,INDIRECT(trust_cosdq_cols),0))</f>
        <v>16</v>
      </c>
    </row>
    <row r="41" spans="1:20" x14ac:dyDescent="0.35">
      <c r="A41" t="s">
        <v>492</v>
      </c>
      <c r="B41" t="s">
        <v>177</v>
      </c>
      <c r="C41" t="s">
        <v>101</v>
      </c>
      <c r="D41" s="2">
        <v>32</v>
      </c>
      <c r="E41" s="2">
        <v>11</v>
      </c>
      <c r="F41" s="2">
        <v>3</v>
      </c>
      <c r="G41" s="2">
        <v>8</v>
      </c>
      <c r="H41" s="4">
        <v>0.03</v>
      </c>
      <c r="I41" s="4">
        <v>0.31</v>
      </c>
      <c r="J41" s="4">
        <v>0</v>
      </c>
      <c r="K41" s="4">
        <v>0</v>
      </c>
      <c r="L41" s="4">
        <v>0</v>
      </c>
      <c r="M41" s="4">
        <v>0</v>
      </c>
      <c r="N41" s="4">
        <v>0.91</v>
      </c>
      <c r="O41" s="4">
        <v>0.33</v>
      </c>
      <c r="P41" s="4">
        <v>0</v>
      </c>
      <c r="R41" s="4" cm="1">
        <f t="array" aca="1" ref="R41" ca="1">INDEX(INDIRECT(trust_cosdq_table),(ROW()-ROW(INDIRECT(trust_cosdq_cols))),MATCH(selected_cosdq_name_xc,INDIRECT(trust_cosdq_cols),0))</f>
        <v>0</v>
      </c>
      <c r="S41">
        <f ca="1">RANK(R41,R:R,0)+COUNTIF($R$2:R41,R41)-1</f>
        <v>80</v>
      </c>
      <c r="T41" cm="1">
        <f t="array" aca="1" ref="T41" ca="1">INDEX(INDIRECT(trust_cosdq_table),(ROW()-ROW(INDIRECT(trust_cosdq_cols))),MATCH(selected_cosdq_denom_xc,INDIRECT(trust_cosdq_cols),0))</f>
        <v>8</v>
      </c>
    </row>
    <row r="42" spans="1:20" x14ac:dyDescent="0.35">
      <c r="A42" t="s">
        <v>178</v>
      </c>
      <c r="B42" t="s">
        <v>179</v>
      </c>
      <c r="C42" t="s">
        <v>469</v>
      </c>
      <c r="D42" s="2">
        <v>195</v>
      </c>
      <c r="E42" s="2">
        <v>59</v>
      </c>
      <c r="F42" s="2">
        <v>17</v>
      </c>
      <c r="G42" s="2">
        <v>53</v>
      </c>
      <c r="H42" s="4">
        <v>0.64</v>
      </c>
      <c r="I42" s="4">
        <v>0.49</v>
      </c>
      <c r="J42" s="4">
        <v>0</v>
      </c>
      <c r="K42" s="4">
        <v>0.1</v>
      </c>
      <c r="L42" s="4">
        <v>0.04</v>
      </c>
      <c r="M42" s="4">
        <v>0</v>
      </c>
      <c r="N42" s="4">
        <v>0.1</v>
      </c>
      <c r="O42" s="4">
        <v>0.06</v>
      </c>
      <c r="P42" s="4">
        <v>0.15</v>
      </c>
      <c r="R42" s="4" cm="1">
        <f t="array" aca="1" ref="R42" ca="1">INDEX(INDIRECT(trust_cosdq_table),(ROW()-ROW(INDIRECT(trust_cosdq_cols))),MATCH(selected_cosdq_name_xc,INDIRECT(trust_cosdq_cols),0))</f>
        <v>0.15</v>
      </c>
      <c r="S42">
        <f ca="1">RANK(R42,R:R,0)+COUNTIF($R$2:R42,R42)-1</f>
        <v>27</v>
      </c>
      <c r="T42" cm="1">
        <f t="array" aca="1" ref="T42" ca="1">INDEX(INDIRECT(trust_cosdq_table),(ROW()-ROW(INDIRECT(trust_cosdq_cols))),MATCH(selected_cosdq_denom_xc,INDIRECT(trust_cosdq_cols),0))</f>
        <v>53</v>
      </c>
    </row>
    <row r="43" spans="1:20" x14ac:dyDescent="0.35">
      <c r="A43" t="s">
        <v>180</v>
      </c>
      <c r="B43" t="s">
        <v>181</v>
      </c>
      <c r="C43" t="s">
        <v>462</v>
      </c>
      <c r="D43" s="2">
        <v>152</v>
      </c>
      <c r="E43" s="2">
        <v>29</v>
      </c>
      <c r="F43" s="2">
        <v>12</v>
      </c>
      <c r="G43" s="2">
        <v>41</v>
      </c>
      <c r="H43" s="4">
        <v>0.61</v>
      </c>
      <c r="I43" s="4">
        <v>0.44</v>
      </c>
      <c r="J43" s="4">
        <v>0</v>
      </c>
      <c r="K43" s="4">
        <v>0.03</v>
      </c>
      <c r="L43" s="4">
        <v>0</v>
      </c>
      <c r="M43" s="4">
        <v>0</v>
      </c>
      <c r="N43" s="4">
        <v>0.45</v>
      </c>
      <c r="O43" s="4">
        <v>0</v>
      </c>
      <c r="P43" s="4">
        <v>0</v>
      </c>
      <c r="R43" s="4" cm="1">
        <f t="array" aca="1" ref="R43" ca="1">INDEX(INDIRECT(trust_cosdq_table),(ROW()-ROW(INDIRECT(trust_cosdq_cols))),MATCH(selected_cosdq_name_xc,INDIRECT(trust_cosdq_cols),0))</f>
        <v>0</v>
      </c>
      <c r="S43">
        <f ca="1">RANK(R43,R:R,0)+COUNTIF($R$2:R43,R43)-1</f>
        <v>81</v>
      </c>
      <c r="T43" cm="1">
        <f t="array" aca="1" ref="T43" ca="1">INDEX(INDIRECT(trust_cosdq_table),(ROW()-ROW(INDIRECT(trust_cosdq_cols))),MATCH(selected_cosdq_denom_xc,INDIRECT(trust_cosdq_cols),0))</f>
        <v>41</v>
      </c>
    </row>
    <row r="44" spans="1:20" x14ac:dyDescent="0.35">
      <c r="A44" t="s">
        <v>461</v>
      </c>
      <c r="B44" t="s">
        <v>182</v>
      </c>
      <c r="C44" t="s">
        <v>142</v>
      </c>
      <c r="D44" s="2">
        <v>31</v>
      </c>
      <c r="E44" s="2">
        <v>6</v>
      </c>
      <c r="F44" s="2">
        <v>4</v>
      </c>
      <c r="G44" s="2">
        <v>9</v>
      </c>
      <c r="H44" s="4">
        <v>0.52</v>
      </c>
      <c r="I44" s="4">
        <v>0.42</v>
      </c>
      <c r="J44" s="4">
        <v>0</v>
      </c>
      <c r="K44" s="4">
        <v>0.06</v>
      </c>
      <c r="L44" s="4">
        <v>0.03</v>
      </c>
      <c r="M44" s="4">
        <v>0</v>
      </c>
      <c r="N44" s="4">
        <v>0</v>
      </c>
      <c r="O44" s="4">
        <v>0</v>
      </c>
      <c r="P44" s="4">
        <v>0</v>
      </c>
      <c r="R44" s="4" cm="1">
        <f t="array" aca="1" ref="R44" ca="1">INDEX(INDIRECT(trust_cosdq_table),(ROW()-ROW(INDIRECT(trust_cosdq_cols))),MATCH(selected_cosdq_name_xc,INDIRECT(trust_cosdq_cols),0))</f>
        <v>0</v>
      </c>
      <c r="S44">
        <f ca="1">RANK(R44,R:R,0)+COUNTIF($R$2:R44,R44)-1</f>
        <v>82</v>
      </c>
      <c r="T44" cm="1">
        <f t="array" aca="1" ref="T44" ca="1">INDEX(INDIRECT(trust_cosdq_table),(ROW()-ROW(INDIRECT(trust_cosdq_cols))),MATCH(selected_cosdq_denom_xc,INDIRECT(trust_cosdq_cols),0))</f>
        <v>9</v>
      </c>
    </row>
    <row r="45" spans="1:20" x14ac:dyDescent="0.35">
      <c r="A45" t="s">
        <v>183</v>
      </c>
      <c r="B45" t="s">
        <v>184</v>
      </c>
      <c r="C45" t="s">
        <v>102</v>
      </c>
      <c r="D45" s="2">
        <v>79</v>
      </c>
      <c r="E45" s="2">
        <v>17</v>
      </c>
      <c r="F45" s="2">
        <v>13</v>
      </c>
      <c r="G45" s="2">
        <v>14</v>
      </c>
      <c r="H45" s="4">
        <v>0.08</v>
      </c>
      <c r="I45" s="4">
        <v>0.54</v>
      </c>
      <c r="J45" s="4">
        <v>0.01</v>
      </c>
      <c r="K45" s="4">
        <v>0.08</v>
      </c>
      <c r="L45" s="4">
        <v>0.04</v>
      </c>
      <c r="M45" s="4">
        <v>0.04</v>
      </c>
      <c r="N45" s="4">
        <v>0</v>
      </c>
      <c r="O45" s="4">
        <v>0</v>
      </c>
      <c r="P45" s="4">
        <v>0</v>
      </c>
      <c r="R45" s="4" cm="1">
        <f t="array" aca="1" ref="R45" ca="1">INDEX(INDIRECT(trust_cosdq_table),(ROW()-ROW(INDIRECT(trust_cosdq_cols))),MATCH(selected_cosdq_name_xc,INDIRECT(trust_cosdq_cols),0))</f>
        <v>0</v>
      </c>
      <c r="S45">
        <f ca="1">RANK(R45,R:R,0)+COUNTIF($R$2:R45,R45)-1</f>
        <v>83</v>
      </c>
      <c r="T45" cm="1">
        <f t="array" aca="1" ref="T45" ca="1">INDEX(INDIRECT(trust_cosdq_table),(ROW()-ROW(INDIRECT(trust_cosdq_cols))),MATCH(selected_cosdq_denom_xc,INDIRECT(trust_cosdq_cols),0))</f>
        <v>14</v>
      </c>
    </row>
    <row r="46" spans="1:20" x14ac:dyDescent="0.35">
      <c r="A46" t="s">
        <v>185</v>
      </c>
      <c r="B46" t="s">
        <v>186</v>
      </c>
      <c r="C46" t="s">
        <v>98</v>
      </c>
      <c r="D46" s="2">
        <v>58</v>
      </c>
      <c r="E46" s="2">
        <v>7</v>
      </c>
      <c r="F46" s="2">
        <v>7</v>
      </c>
      <c r="G46" s="2">
        <v>17</v>
      </c>
      <c r="H46" s="4">
        <v>0.34</v>
      </c>
      <c r="I46" s="4">
        <v>0.56999999999999995</v>
      </c>
      <c r="J46" s="4">
        <v>0</v>
      </c>
      <c r="K46" s="4">
        <v>7.0000000000000007E-2</v>
      </c>
      <c r="L46" s="4">
        <v>0.02</v>
      </c>
      <c r="M46" s="4">
        <v>0.02</v>
      </c>
      <c r="N46" s="4">
        <v>1</v>
      </c>
      <c r="O46" s="4">
        <v>0.14000000000000001</v>
      </c>
      <c r="P46" s="4">
        <v>0.12</v>
      </c>
      <c r="R46" s="4" cm="1">
        <f t="array" aca="1" ref="R46" ca="1">INDEX(INDIRECT(trust_cosdq_table),(ROW()-ROW(INDIRECT(trust_cosdq_cols))),MATCH(selected_cosdq_name_xc,INDIRECT(trust_cosdq_cols),0))</f>
        <v>0.12</v>
      </c>
      <c r="S46">
        <f ca="1">RANK(R46,R:R,0)+COUNTIF($R$2:R46,R46)-1</f>
        <v>32</v>
      </c>
      <c r="T46" cm="1">
        <f t="array" aca="1" ref="T46" ca="1">INDEX(INDIRECT(trust_cosdq_table),(ROW()-ROW(INDIRECT(trust_cosdq_cols))),MATCH(selected_cosdq_denom_xc,INDIRECT(trust_cosdq_cols),0))</f>
        <v>17</v>
      </c>
    </row>
    <row r="47" spans="1:20" x14ac:dyDescent="0.35">
      <c r="A47" t="s">
        <v>187</v>
      </c>
      <c r="B47" t="s">
        <v>188</v>
      </c>
      <c r="C47" t="s">
        <v>133</v>
      </c>
      <c r="D47" s="2">
        <v>134</v>
      </c>
      <c r="E47" s="2">
        <v>8</v>
      </c>
      <c r="F47" s="2">
        <v>15</v>
      </c>
      <c r="G47" s="2">
        <v>32</v>
      </c>
      <c r="H47" s="4">
        <v>0.46</v>
      </c>
      <c r="I47" s="4">
        <v>0.47</v>
      </c>
      <c r="J47" s="4">
        <v>0.01</v>
      </c>
      <c r="K47" s="4">
        <v>0.1</v>
      </c>
      <c r="L47" s="4">
        <v>0.01</v>
      </c>
      <c r="M47" s="4">
        <v>0</v>
      </c>
      <c r="N47" s="4">
        <v>0.25</v>
      </c>
      <c r="O47" s="4">
        <v>0</v>
      </c>
      <c r="P47" s="4">
        <v>0.03</v>
      </c>
      <c r="R47" s="4" cm="1">
        <f t="array" aca="1" ref="R47" ca="1">INDEX(INDIRECT(trust_cosdq_table),(ROW()-ROW(INDIRECT(trust_cosdq_cols))),MATCH(selected_cosdq_name_xc,INDIRECT(trust_cosdq_cols),0))</f>
        <v>0.03</v>
      </c>
      <c r="S47">
        <f ca="1">RANK(R47,R:R,0)+COUNTIF($R$2:R47,R47)-1</f>
        <v>47</v>
      </c>
      <c r="T47" cm="1">
        <f t="array" aca="1" ref="T47" ca="1">INDEX(INDIRECT(trust_cosdq_table),(ROW()-ROW(INDIRECT(trust_cosdq_cols))),MATCH(selected_cosdq_denom_xc,INDIRECT(trust_cosdq_cols),0))</f>
        <v>32</v>
      </c>
    </row>
    <row r="48" spans="1:20" x14ac:dyDescent="0.35">
      <c r="A48" t="s">
        <v>189</v>
      </c>
      <c r="B48" t="s">
        <v>190</v>
      </c>
      <c r="C48" t="s">
        <v>462</v>
      </c>
      <c r="D48" s="2">
        <v>66</v>
      </c>
      <c r="E48" s="2">
        <v>17</v>
      </c>
      <c r="F48" s="2">
        <v>9</v>
      </c>
      <c r="G48" s="2">
        <v>15</v>
      </c>
      <c r="H48" s="4">
        <v>0.7</v>
      </c>
      <c r="I48" s="4">
        <v>0.15</v>
      </c>
      <c r="J48" s="4">
        <v>0</v>
      </c>
      <c r="K48" s="4">
        <v>0</v>
      </c>
      <c r="L48" s="4">
        <v>0</v>
      </c>
      <c r="M48" s="4">
        <v>0</v>
      </c>
      <c r="N48" s="4">
        <v>0</v>
      </c>
      <c r="O48" s="4">
        <v>0</v>
      </c>
      <c r="P48" s="4">
        <v>0</v>
      </c>
      <c r="R48" s="4" cm="1">
        <f t="array" aca="1" ref="R48" ca="1">INDEX(INDIRECT(trust_cosdq_table),(ROW()-ROW(INDIRECT(trust_cosdq_cols))),MATCH(selected_cosdq_name_xc,INDIRECT(trust_cosdq_cols),0))</f>
        <v>0</v>
      </c>
      <c r="S48">
        <f ca="1">RANK(R48,R:R,0)+COUNTIF($R$2:R48,R48)-1</f>
        <v>84</v>
      </c>
      <c r="T48" cm="1">
        <f t="array" aca="1" ref="T48" ca="1">INDEX(INDIRECT(trust_cosdq_table),(ROW()-ROW(INDIRECT(trust_cosdq_cols))),MATCH(selected_cosdq_denom_xc,INDIRECT(trust_cosdq_cols),0))</f>
        <v>15</v>
      </c>
    </row>
    <row r="49" spans="1:20" x14ac:dyDescent="0.35">
      <c r="A49" t="s">
        <v>191</v>
      </c>
      <c r="B49" t="s">
        <v>192</v>
      </c>
      <c r="C49" t="s">
        <v>113</v>
      </c>
      <c r="D49" s="2">
        <v>22</v>
      </c>
      <c r="E49" s="2">
        <v>2</v>
      </c>
      <c r="F49" s="2">
        <v>5</v>
      </c>
      <c r="G49" s="2">
        <v>7</v>
      </c>
      <c r="H49" s="4">
        <v>0.59</v>
      </c>
      <c r="I49" s="4">
        <v>0.68</v>
      </c>
      <c r="J49" s="4">
        <v>0</v>
      </c>
      <c r="K49" s="4">
        <v>0</v>
      </c>
      <c r="L49" s="4">
        <v>0</v>
      </c>
      <c r="M49" s="4">
        <v>0</v>
      </c>
      <c r="N49" s="4">
        <v>0</v>
      </c>
      <c r="O49" s="4">
        <v>0.2</v>
      </c>
      <c r="P49" s="4">
        <v>0.28999999999999998</v>
      </c>
      <c r="R49" s="4" cm="1">
        <f t="array" aca="1" ref="R49" ca="1">INDEX(INDIRECT(trust_cosdq_table),(ROW()-ROW(INDIRECT(trust_cosdq_cols))),MATCH(selected_cosdq_name_xc,INDIRECT(trust_cosdq_cols),0))</f>
        <v>0.28999999999999998</v>
      </c>
      <c r="S49">
        <f ca="1">RANK(R49,R:R,0)+COUNTIF($R$2:R49,R49)-1</f>
        <v>11</v>
      </c>
      <c r="T49" cm="1">
        <f t="array" aca="1" ref="T49" ca="1">INDEX(INDIRECT(trust_cosdq_table),(ROW()-ROW(INDIRECT(trust_cosdq_cols))),MATCH(selected_cosdq_denom_xc,INDIRECT(trust_cosdq_cols),0))</f>
        <v>7</v>
      </c>
    </row>
    <row r="50" spans="1:20" x14ac:dyDescent="0.35">
      <c r="A50" t="s">
        <v>193</v>
      </c>
      <c r="B50" t="s">
        <v>194</v>
      </c>
      <c r="C50" t="s">
        <v>93</v>
      </c>
      <c r="D50" s="2">
        <v>227</v>
      </c>
      <c r="E50" s="2">
        <v>59</v>
      </c>
      <c r="F50" s="2">
        <v>31</v>
      </c>
      <c r="G50" s="2">
        <v>56</v>
      </c>
      <c r="H50" s="4">
        <v>0.7</v>
      </c>
      <c r="I50" s="4">
        <v>0.47</v>
      </c>
      <c r="J50" s="4">
        <v>0.01</v>
      </c>
      <c r="K50" s="4">
        <v>0.11</v>
      </c>
      <c r="L50" s="4">
        <v>0</v>
      </c>
      <c r="M50" s="4">
        <v>0</v>
      </c>
      <c r="N50" s="4">
        <v>0.88</v>
      </c>
      <c r="O50" s="4">
        <v>0</v>
      </c>
      <c r="P50" s="4">
        <v>0</v>
      </c>
      <c r="R50" s="4" cm="1">
        <f t="array" aca="1" ref="R50" ca="1">INDEX(INDIRECT(trust_cosdq_table),(ROW()-ROW(INDIRECT(trust_cosdq_cols))),MATCH(selected_cosdq_name_xc,INDIRECT(trust_cosdq_cols),0))</f>
        <v>0</v>
      </c>
      <c r="S50">
        <f ca="1">RANK(R50,R:R,0)+COUNTIF($R$2:R50,R50)-1</f>
        <v>85</v>
      </c>
      <c r="T50" cm="1">
        <f t="array" aca="1" ref="T50" ca="1">INDEX(INDIRECT(trust_cosdq_table),(ROW()-ROW(INDIRECT(trust_cosdq_cols))),MATCH(selected_cosdq_denom_xc,INDIRECT(trust_cosdq_cols),0))</f>
        <v>56</v>
      </c>
    </row>
    <row r="51" spans="1:20" x14ac:dyDescent="0.35">
      <c r="A51" t="s">
        <v>195</v>
      </c>
      <c r="B51" t="s">
        <v>196</v>
      </c>
      <c r="C51" t="s">
        <v>133</v>
      </c>
      <c r="D51" s="2">
        <v>73</v>
      </c>
      <c r="E51" s="2">
        <v>17</v>
      </c>
      <c r="F51" s="2">
        <v>6</v>
      </c>
      <c r="G51" s="2">
        <v>14</v>
      </c>
      <c r="H51" s="4">
        <v>0.38</v>
      </c>
      <c r="I51" s="4">
        <v>0.21</v>
      </c>
      <c r="J51" s="4">
        <v>0</v>
      </c>
      <c r="K51" s="4">
        <v>0.01</v>
      </c>
      <c r="L51" s="4">
        <v>0</v>
      </c>
      <c r="M51" s="4">
        <v>0</v>
      </c>
      <c r="N51" s="4">
        <v>0</v>
      </c>
      <c r="O51" s="4">
        <v>0</v>
      </c>
      <c r="P51" s="4">
        <v>0</v>
      </c>
      <c r="R51" s="4" cm="1">
        <f t="array" aca="1" ref="R51" ca="1">INDEX(INDIRECT(trust_cosdq_table),(ROW()-ROW(INDIRECT(trust_cosdq_cols))),MATCH(selected_cosdq_name_xc,INDIRECT(trust_cosdq_cols),0))</f>
        <v>0</v>
      </c>
      <c r="S51">
        <f ca="1">RANK(R51,R:R,0)+COUNTIF($R$2:R51,R51)-1</f>
        <v>86</v>
      </c>
      <c r="T51" cm="1">
        <f t="array" aca="1" ref="T51" ca="1">INDEX(INDIRECT(trust_cosdq_table),(ROW()-ROW(INDIRECT(trust_cosdq_cols))),MATCH(selected_cosdq_denom_xc,INDIRECT(trust_cosdq_cols),0))</f>
        <v>14</v>
      </c>
    </row>
    <row r="52" spans="1:20" x14ac:dyDescent="0.35">
      <c r="A52" t="s">
        <v>199</v>
      </c>
      <c r="B52" t="s">
        <v>200</v>
      </c>
      <c r="C52" t="s">
        <v>94</v>
      </c>
      <c r="D52" s="2">
        <v>55</v>
      </c>
      <c r="E52" s="2">
        <v>7</v>
      </c>
      <c r="F52" s="2">
        <v>8</v>
      </c>
      <c r="G52" s="2">
        <v>6</v>
      </c>
      <c r="H52" s="4">
        <v>0.09</v>
      </c>
      <c r="I52" s="4">
        <v>0.35</v>
      </c>
      <c r="J52" s="4">
        <v>0</v>
      </c>
      <c r="K52" s="4">
        <v>0.05</v>
      </c>
      <c r="L52" s="4">
        <v>0</v>
      </c>
      <c r="M52" s="4">
        <v>0</v>
      </c>
      <c r="N52" s="4">
        <v>0</v>
      </c>
      <c r="O52" s="4">
        <v>0.13</v>
      </c>
      <c r="P52" s="4">
        <v>0</v>
      </c>
      <c r="R52" s="4" cm="1">
        <f t="array" aca="1" ref="R52" ca="1">INDEX(INDIRECT(trust_cosdq_table),(ROW()-ROW(INDIRECT(trust_cosdq_cols))),MATCH(selected_cosdq_name_xc,INDIRECT(trust_cosdq_cols),0))</f>
        <v>0</v>
      </c>
      <c r="S52">
        <f ca="1">RANK(R52,R:R,0)+COUNTIF($R$2:R52,R52)-1</f>
        <v>87</v>
      </c>
      <c r="T52" cm="1">
        <f t="array" aca="1" ref="T52" ca="1">INDEX(INDIRECT(trust_cosdq_table),(ROW()-ROW(INDIRECT(trust_cosdq_cols))),MATCH(selected_cosdq_denom_xc,INDIRECT(trust_cosdq_cols),0))</f>
        <v>6</v>
      </c>
    </row>
    <row r="53" spans="1:20" x14ac:dyDescent="0.35">
      <c r="A53" t="s">
        <v>463</v>
      </c>
      <c r="B53" t="s">
        <v>201</v>
      </c>
      <c r="C53" t="s">
        <v>462</v>
      </c>
      <c r="D53" s="2">
        <v>75</v>
      </c>
      <c r="E53" s="2">
        <v>3</v>
      </c>
      <c r="F53" s="2">
        <v>11</v>
      </c>
      <c r="G53" s="2">
        <v>21</v>
      </c>
      <c r="H53" s="4">
        <v>0.45</v>
      </c>
      <c r="I53" s="4">
        <v>0.12</v>
      </c>
      <c r="J53" s="4">
        <v>0</v>
      </c>
      <c r="K53" s="4">
        <v>0.01</v>
      </c>
      <c r="L53" s="4">
        <v>0</v>
      </c>
      <c r="M53" s="4">
        <v>0.01</v>
      </c>
      <c r="N53" s="4">
        <v>0</v>
      </c>
      <c r="O53" s="4">
        <v>0</v>
      </c>
      <c r="P53" s="4">
        <v>0</v>
      </c>
      <c r="R53" s="4" cm="1">
        <f t="array" aca="1" ref="R53" ca="1">INDEX(INDIRECT(trust_cosdq_table),(ROW()-ROW(INDIRECT(trust_cosdq_cols))),MATCH(selected_cosdq_name_xc,INDIRECT(trust_cosdq_cols),0))</f>
        <v>0</v>
      </c>
      <c r="S53">
        <f ca="1">RANK(R53,R:R,0)+COUNTIF($R$2:R53,R53)-1</f>
        <v>88</v>
      </c>
      <c r="T53" cm="1">
        <f t="array" aca="1" ref="T53" ca="1">INDEX(INDIRECT(trust_cosdq_table),(ROW()-ROW(INDIRECT(trust_cosdq_cols))),MATCH(selected_cosdq_denom_xc,INDIRECT(trust_cosdq_cols),0))</f>
        <v>21</v>
      </c>
    </row>
    <row r="54" spans="1:20" x14ac:dyDescent="0.35">
      <c r="A54" t="s">
        <v>202</v>
      </c>
      <c r="B54" t="s">
        <v>203</v>
      </c>
      <c r="C54" t="s">
        <v>114</v>
      </c>
      <c r="D54" s="2">
        <v>118</v>
      </c>
      <c r="E54" s="2">
        <v>11</v>
      </c>
      <c r="F54" s="2">
        <v>18</v>
      </c>
      <c r="G54" s="2">
        <v>13</v>
      </c>
      <c r="H54" s="4">
        <v>0.17</v>
      </c>
      <c r="I54" s="4">
        <v>0.42</v>
      </c>
      <c r="J54" s="4">
        <v>0</v>
      </c>
      <c r="K54" s="4">
        <v>0.06</v>
      </c>
      <c r="L54" s="4">
        <v>0.03</v>
      </c>
      <c r="M54" s="4">
        <v>0.02</v>
      </c>
      <c r="N54" s="4">
        <v>0</v>
      </c>
      <c r="O54" s="4">
        <v>0</v>
      </c>
      <c r="P54" s="4">
        <v>0</v>
      </c>
      <c r="R54" s="4" cm="1">
        <f t="array" aca="1" ref="R54" ca="1">INDEX(INDIRECT(trust_cosdq_table),(ROW()-ROW(INDIRECT(trust_cosdq_cols))),MATCH(selected_cosdq_name_xc,INDIRECT(trust_cosdq_cols),0))</f>
        <v>0</v>
      </c>
      <c r="S54">
        <f ca="1">RANK(R54,R:R,0)+COUNTIF($R$2:R54,R54)-1</f>
        <v>89</v>
      </c>
      <c r="T54" cm="1">
        <f t="array" aca="1" ref="T54" ca="1">INDEX(INDIRECT(trust_cosdq_table),(ROW()-ROW(INDIRECT(trust_cosdq_cols))),MATCH(selected_cosdq_denom_xc,INDIRECT(trust_cosdq_cols),0))</f>
        <v>13</v>
      </c>
    </row>
    <row r="55" spans="1:20" x14ac:dyDescent="0.35">
      <c r="A55" t="s">
        <v>204</v>
      </c>
      <c r="B55" t="s">
        <v>205</v>
      </c>
      <c r="C55" t="s">
        <v>108</v>
      </c>
      <c r="D55" s="2">
        <v>107</v>
      </c>
      <c r="E55" s="2">
        <v>15</v>
      </c>
      <c r="F55" s="2">
        <v>15</v>
      </c>
      <c r="G55" s="2">
        <v>15</v>
      </c>
      <c r="H55" s="4">
        <v>7.0000000000000007E-2</v>
      </c>
      <c r="I55" s="4">
        <v>0.26</v>
      </c>
      <c r="J55" s="4">
        <v>0.01</v>
      </c>
      <c r="K55" s="4">
        <v>0.04</v>
      </c>
      <c r="L55" s="4">
        <v>0</v>
      </c>
      <c r="M55" s="4">
        <v>0.02</v>
      </c>
      <c r="N55" s="4">
        <v>0</v>
      </c>
      <c r="O55" s="4">
        <v>0</v>
      </c>
      <c r="P55" s="4">
        <v>0</v>
      </c>
      <c r="R55" s="4" cm="1">
        <f t="array" aca="1" ref="R55" ca="1">INDEX(INDIRECT(trust_cosdq_table),(ROW()-ROW(INDIRECT(trust_cosdq_cols))),MATCH(selected_cosdq_name_xc,INDIRECT(trust_cosdq_cols),0))</f>
        <v>0</v>
      </c>
      <c r="S55">
        <f ca="1">RANK(R55,R:R,0)+COUNTIF($R$2:R55,R55)-1</f>
        <v>90</v>
      </c>
      <c r="T55" cm="1">
        <f t="array" aca="1" ref="T55" ca="1">INDEX(INDIRECT(trust_cosdq_table),(ROW()-ROW(INDIRECT(trust_cosdq_cols))),MATCH(selected_cosdq_denom_xc,INDIRECT(trust_cosdq_cols),0))</f>
        <v>15</v>
      </c>
    </row>
    <row r="56" spans="1:20" x14ac:dyDescent="0.35">
      <c r="A56" t="s">
        <v>206</v>
      </c>
      <c r="B56" t="s">
        <v>207</v>
      </c>
      <c r="C56" t="s">
        <v>114</v>
      </c>
      <c r="D56" s="2">
        <v>82</v>
      </c>
      <c r="E56" s="2">
        <v>12</v>
      </c>
      <c r="F56" s="2">
        <v>11</v>
      </c>
      <c r="G56" s="2">
        <v>27</v>
      </c>
      <c r="H56" s="4">
        <v>0.62</v>
      </c>
      <c r="I56" s="4">
        <v>0.35</v>
      </c>
      <c r="J56" s="4">
        <v>0</v>
      </c>
      <c r="K56" s="4">
        <v>0.02</v>
      </c>
      <c r="L56" s="4">
        <v>0.02</v>
      </c>
      <c r="M56" s="4">
        <v>0.01</v>
      </c>
      <c r="N56" s="4">
        <v>0.25</v>
      </c>
      <c r="O56" s="4">
        <v>0</v>
      </c>
      <c r="P56" s="4">
        <v>0.7</v>
      </c>
      <c r="R56" s="4" cm="1">
        <f t="array" aca="1" ref="R56" ca="1">INDEX(INDIRECT(trust_cosdq_table),(ROW()-ROW(INDIRECT(trust_cosdq_cols))),MATCH(selected_cosdq_name_xc,INDIRECT(trust_cosdq_cols),0))</f>
        <v>0.7</v>
      </c>
      <c r="S56">
        <f ca="1">RANK(R56,R:R,0)+COUNTIF($R$2:R56,R56)-1</f>
        <v>2</v>
      </c>
      <c r="T56" cm="1">
        <f t="array" aca="1" ref="T56" ca="1">INDEX(INDIRECT(trust_cosdq_table),(ROW()-ROW(INDIRECT(trust_cosdq_cols))),MATCH(selected_cosdq_denom_xc,INDIRECT(trust_cosdq_cols),0))</f>
        <v>27</v>
      </c>
    </row>
    <row r="57" spans="1:20" x14ac:dyDescent="0.35">
      <c r="A57" t="s">
        <v>467</v>
      </c>
      <c r="B57" t="s">
        <v>269</v>
      </c>
      <c r="C57" t="s">
        <v>94</v>
      </c>
      <c r="D57" s="2">
        <v>116</v>
      </c>
      <c r="E57" s="2">
        <v>27</v>
      </c>
      <c r="F57" s="2">
        <v>14</v>
      </c>
      <c r="G57" s="2">
        <v>28</v>
      </c>
      <c r="H57" s="4">
        <v>0.47</v>
      </c>
      <c r="I57" s="4">
        <v>0.42</v>
      </c>
      <c r="J57" s="4">
        <v>0</v>
      </c>
      <c r="K57" s="4">
        <v>0.02</v>
      </c>
      <c r="L57" s="4">
        <v>0.03</v>
      </c>
      <c r="M57" s="4">
        <v>0</v>
      </c>
      <c r="N57" s="4">
        <v>0.33</v>
      </c>
      <c r="O57" s="4">
        <v>0.79</v>
      </c>
      <c r="P57" s="4">
        <v>0.5</v>
      </c>
      <c r="R57" s="4" cm="1">
        <f t="array" aca="1" ref="R57" ca="1">INDEX(INDIRECT(trust_cosdq_table),(ROW()-ROW(INDIRECT(trust_cosdq_cols))),MATCH(selected_cosdq_name_xc,INDIRECT(trust_cosdq_cols),0))</f>
        <v>0.5</v>
      </c>
      <c r="S57">
        <f ca="1">RANK(R57,R:R,0)+COUNTIF($R$2:R57,R57)-1</f>
        <v>5</v>
      </c>
      <c r="T57" cm="1">
        <f t="array" aca="1" ref="T57" ca="1">INDEX(INDIRECT(trust_cosdq_table),(ROW()-ROW(INDIRECT(trust_cosdq_cols))),MATCH(selected_cosdq_denom_xc,INDIRECT(trust_cosdq_cols),0))</f>
        <v>28</v>
      </c>
    </row>
    <row r="58" spans="1:20" x14ac:dyDescent="0.35">
      <c r="A58" t="s">
        <v>208</v>
      </c>
      <c r="B58" t="s">
        <v>209</v>
      </c>
      <c r="C58" t="s">
        <v>105</v>
      </c>
      <c r="D58" s="2">
        <v>251</v>
      </c>
      <c r="E58" s="2">
        <v>54</v>
      </c>
      <c r="F58" s="2">
        <v>26</v>
      </c>
      <c r="G58" s="2">
        <v>84</v>
      </c>
      <c r="H58" s="4">
        <v>0.28999999999999998</v>
      </c>
      <c r="I58" s="4">
        <v>0.45</v>
      </c>
      <c r="J58" s="4">
        <v>0.01</v>
      </c>
      <c r="K58" s="4">
        <v>0.1</v>
      </c>
      <c r="L58" s="4">
        <v>0.02</v>
      </c>
      <c r="M58" s="4">
        <v>0.01</v>
      </c>
      <c r="N58" s="4">
        <v>0.24</v>
      </c>
      <c r="O58" s="4">
        <v>0.04</v>
      </c>
      <c r="P58" s="4">
        <v>0</v>
      </c>
      <c r="R58" s="4" cm="1">
        <f t="array" aca="1" ref="R58" ca="1">INDEX(INDIRECT(trust_cosdq_table),(ROW()-ROW(INDIRECT(trust_cosdq_cols))),MATCH(selected_cosdq_name_xc,INDIRECT(trust_cosdq_cols),0))</f>
        <v>0</v>
      </c>
      <c r="S58">
        <f ca="1">RANK(R58,R:R,0)+COUNTIF($R$2:R58,R58)-1</f>
        <v>91</v>
      </c>
      <c r="T58" cm="1">
        <f t="array" aca="1" ref="T58" ca="1">INDEX(INDIRECT(trust_cosdq_table),(ROW()-ROW(INDIRECT(trust_cosdq_cols))),MATCH(selected_cosdq_denom_xc,INDIRECT(trust_cosdq_cols),0))</f>
        <v>84</v>
      </c>
    </row>
    <row r="59" spans="1:20" x14ac:dyDescent="0.35">
      <c r="A59" t="s">
        <v>210</v>
      </c>
      <c r="B59" t="s">
        <v>211</v>
      </c>
      <c r="C59" t="s">
        <v>94</v>
      </c>
      <c r="D59" s="2">
        <v>62</v>
      </c>
      <c r="E59" s="2">
        <v>14</v>
      </c>
      <c r="F59" s="2">
        <v>12</v>
      </c>
      <c r="G59" s="2">
        <v>7</v>
      </c>
      <c r="H59" s="4">
        <v>0.63</v>
      </c>
      <c r="I59" s="4">
        <v>0.37</v>
      </c>
      <c r="J59" s="4">
        <v>0</v>
      </c>
      <c r="K59" s="4">
        <v>0</v>
      </c>
      <c r="L59" s="4">
        <v>0.03</v>
      </c>
      <c r="M59" s="4">
        <v>0</v>
      </c>
      <c r="N59" s="4">
        <v>0.64</v>
      </c>
      <c r="O59" s="4">
        <v>0.08</v>
      </c>
      <c r="P59" s="4">
        <v>0</v>
      </c>
      <c r="R59" s="4" cm="1">
        <f t="array" aca="1" ref="R59" ca="1">INDEX(INDIRECT(trust_cosdq_table),(ROW()-ROW(INDIRECT(trust_cosdq_cols))),MATCH(selected_cosdq_name_xc,INDIRECT(trust_cosdq_cols),0))</f>
        <v>0</v>
      </c>
      <c r="S59">
        <f ca="1">RANK(R59,R:R,0)+COUNTIF($R$2:R59,R59)-1</f>
        <v>92</v>
      </c>
      <c r="T59" cm="1">
        <f t="array" aca="1" ref="T59" ca="1">INDEX(INDIRECT(trust_cosdq_table),(ROW()-ROW(INDIRECT(trust_cosdq_cols))),MATCH(selected_cosdq_denom_xc,INDIRECT(trust_cosdq_cols),0))</f>
        <v>7</v>
      </c>
    </row>
    <row r="60" spans="1:20" x14ac:dyDescent="0.35">
      <c r="A60" t="s">
        <v>504</v>
      </c>
      <c r="B60" t="s">
        <v>212</v>
      </c>
      <c r="C60" t="s">
        <v>93</v>
      </c>
      <c r="D60" s="2">
        <v>131</v>
      </c>
      <c r="E60" s="2">
        <v>39</v>
      </c>
      <c r="F60" s="2">
        <v>17</v>
      </c>
      <c r="G60" s="2">
        <v>34</v>
      </c>
      <c r="H60" s="4">
        <v>0.66</v>
      </c>
      <c r="I60" s="4">
        <v>0.45</v>
      </c>
      <c r="J60" s="4">
        <v>0.02</v>
      </c>
      <c r="K60" s="4">
        <v>0.1</v>
      </c>
      <c r="L60" s="4">
        <v>0.02</v>
      </c>
      <c r="M60" s="4">
        <v>0</v>
      </c>
      <c r="N60" s="4">
        <v>0.08</v>
      </c>
      <c r="O60" s="4">
        <v>0</v>
      </c>
      <c r="P60" s="4">
        <v>0</v>
      </c>
      <c r="R60" s="4" cm="1">
        <f t="array" aca="1" ref="R60" ca="1">INDEX(INDIRECT(trust_cosdq_table),(ROW()-ROW(INDIRECT(trust_cosdq_cols))),MATCH(selected_cosdq_name_xc,INDIRECT(trust_cosdq_cols),0))</f>
        <v>0</v>
      </c>
      <c r="S60">
        <f ca="1">RANK(R60,R:R,0)+COUNTIF($R$2:R60,R60)-1</f>
        <v>93</v>
      </c>
      <c r="T60" cm="1">
        <f t="array" aca="1" ref="T60" ca="1">INDEX(INDIRECT(trust_cosdq_table),(ROW()-ROW(INDIRECT(trust_cosdq_cols))),MATCH(selected_cosdq_denom_xc,INDIRECT(trust_cosdq_cols),0))</f>
        <v>34</v>
      </c>
    </row>
    <row r="61" spans="1:20" x14ac:dyDescent="0.35">
      <c r="A61" t="s">
        <v>213</v>
      </c>
      <c r="B61" t="s">
        <v>214</v>
      </c>
      <c r="C61" t="s">
        <v>105</v>
      </c>
      <c r="D61" s="2">
        <v>77</v>
      </c>
      <c r="E61" s="2">
        <v>12</v>
      </c>
      <c r="F61" s="2">
        <v>6</v>
      </c>
      <c r="G61" s="2">
        <v>33</v>
      </c>
      <c r="H61" s="4">
        <v>0.64</v>
      </c>
      <c r="I61" s="4">
        <v>0.16</v>
      </c>
      <c r="J61" s="4">
        <v>0</v>
      </c>
      <c r="K61" s="4">
        <v>0.03</v>
      </c>
      <c r="L61" s="4">
        <v>0</v>
      </c>
      <c r="M61" s="4">
        <v>0</v>
      </c>
      <c r="N61" s="4">
        <v>0</v>
      </c>
      <c r="O61" s="4">
        <v>0</v>
      </c>
      <c r="P61" s="4">
        <v>0</v>
      </c>
      <c r="R61" s="4" cm="1">
        <f t="array" aca="1" ref="R61" ca="1">INDEX(INDIRECT(trust_cosdq_table),(ROW()-ROW(INDIRECT(trust_cosdq_cols))),MATCH(selected_cosdq_name_xc,INDIRECT(trust_cosdq_cols),0))</f>
        <v>0</v>
      </c>
      <c r="S61">
        <f ca="1">RANK(R61,R:R,0)+COUNTIF($R$2:R61,R61)-1</f>
        <v>94</v>
      </c>
      <c r="T61" cm="1">
        <f t="array" aca="1" ref="T61" ca="1">INDEX(INDIRECT(trust_cosdq_table),(ROW()-ROW(INDIRECT(trust_cosdq_cols))),MATCH(selected_cosdq_denom_xc,INDIRECT(trust_cosdq_cols),0))</f>
        <v>33</v>
      </c>
    </row>
    <row r="62" spans="1:20" x14ac:dyDescent="0.35">
      <c r="A62" t="s">
        <v>494</v>
      </c>
      <c r="B62" t="s">
        <v>280</v>
      </c>
      <c r="C62" t="s">
        <v>124</v>
      </c>
      <c r="D62" s="2">
        <v>199</v>
      </c>
      <c r="E62" s="2">
        <v>19</v>
      </c>
      <c r="F62" s="2">
        <v>32</v>
      </c>
      <c r="G62" s="2">
        <v>81</v>
      </c>
      <c r="H62" s="4">
        <v>0.32</v>
      </c>
      <c r="I62" s="4">
        <v>0.62</v>
      </c>
      <c r="J62" s="4">
        <v>0.02</v>
      </c>
      <c r="K62" s="4">
        <v>0.12</v>
      </c>
      <c r="L62" s="4">
        <v>0.02</v>
      </c>
      <c r="M62" s="4">
        <v>0.04</v>
      </c>
      <c r="N62" s="4">
        <v>0.26</v>
      </c>
      <c r="O62" s="4">
        <v>0.22</v>
      </c>
      <c r="P62" s="4">
        <v>0.2</v>
      </c>
      <c r="R62" s="4" cm="1">
        <f t="array" aca="1" ref="R62" ca="1">INDEX(INDIRECT(trust_cosdq_table),(ROW()-ROW(INDIRECT(trust_cosdq_cols))),MATCH(selected_cosdq_name_xc,INDIRECT(trust_cosdq_cols),0))</f>
        <v>0.2</v>
      </c>
      <c r="S62">
        <f ca="1">RANK(R62,R:R,0)+COUNTIF($R$2:R62,R62)-1</f>
        <v>20</v>
      </c>
      <c r="T62" cm="1">
        <f t="array" aca="1" ref="T62" ca="1">INDEX(INDIRECT(trust_cosdq_table),(ROW()-ROW(INDIRECT(trust_cosdq_cols))),MATCH(selected_cosdq_denom_xc,INDIRECT(trust_cosdq_cols),0))</f>
        <v>81</v>
      </c>
    </row>
    <row r="63" spans="1:20" x14ac:dyDescent="0.35">
      <c r="A63" t="s">
        <v>215</v>
      </c>
      <c r="B63" t="s">
        <v>216</v>
      </c>
      <c r="C63" t="s">
        <v>102</v>
      </c>
      <c r="D63" s="2">
        <v>165</v>
      </c>
      <c r="E63" s="2">
        <v>28</v>
      </c>
      <c r="F63" s="2">
        <v>28</v>
      </c>
      <c r="G63" s="2">
        <v>48</v>
      </c>
      <c r="H63" s="4">
        <v>0.72</v>
      </c>
      <c r="I63" s="4">
        <v>0.52</v>
      </c>
      <c r="J63" s="4">
        <v>0.01</v>
      </c>
      <c r="K63" s="4">
        <v>0.05</v>
      </c>
      <c r="L63" s="4">
        <v>0.03</v>
      </c>
      <c r="M63" s="4">
        <v>0.01</v>
      </c>
      <c r="N63" s="4">
        <v>0.28999999999999998</v>
      </c>
      <c r="O63" s="4">
        <v>0.11</v>
      </c>
      <c r="P63" s="4">
        <v>0.08</v>
      </c>
      <c r="R63" s="4" cm="1">
        <f t="array" aca="1" ref="R63" ca="1">INDEX(INDIRECT(trust_cosdq_table),(ROW()-ROW(INDIRECT(trust_cosdq_cols))),MATCH(selected_cosdq_name_xc,INDIRECT(trust_cosdq_cols),0))</f>
        <v>0.08</v>
      </c>
      <c r="S63">
        <f ca="1">RANK(R63,R:R,0)+COUNTIF($R$2:R63,R63)-1</f>
        <v>38</v>
      </c>
      <c r="T63" cm="1">
        <f t="array" aca="1" ref="T63" ca="1">INDEX(INDIRECT(trust_cosdq_table),(ROW()-ROW(INDIRECT(trust_cosdq_cols))),MATCH(selected_cosdq_denom_xc,INDIRECT(trust_cosdq_cols),0))</f>
        <v>48</v>
      </c>
    </row>
    <row r="64" spans="1:20" x14ac:dyDescent="0.35">
      <c r="A64" t="s">
        <v>217</v>
      </c>
      <c r="B64" t="s">
        <v>218</v>
      </c>
      <c r="C64" t="s">
        <v>464</v>
      </c>
      <c r="D64" s="2">
        <v>104</v>
      </c>
      <c r="E64" s="2">
        <v>11</v>
      </c>
      <c r="F64" s="2">
        <v>18</v>
      </c>
      <c r="G64" s="2">
        <v>34</v>
      </c>
      <c r="H64" s="4">
        <v>0.03</v>
      </c>
      <c r="I64" s="4">
        <v>0.63</v>
      </c>
      <c r="J64" s="4">
        <v>0.03</v>
      </c>
      <c r="K64" s="4">
        <v>0.23</v>
      </c>
      <c r="L64" s="4">
        <v>0.05</v>
      </c>
      <c r="M64" s="4">
        <v>0.01</v>
      </c>
      <c r="N64" s="4">
        <v>0</v>
      </c>
      <c r="O64" s="4">
        <v>0</v>
      </c>
      <c r="P64" s="4">
        <v>0</v>
      </c>
      <c r="R64" s="4" cm="1">
        <f t="array" aca="1" ref="R64" ca="1">INDEX(INDIRECT(trust_cosdq_table),(ROW()-ROW(INDIRECT(trust_cosdq_cols))),MATCH(selected_cosdq_name_xc,INDIRECT(trust_cosdq_cols),0))</f>
        <v>0</v>
      </c>
      <c r="S64">
        <f ca="1">RANK(R64,R:R,0)+COUNTIF($R$2:R64,R64)-1</f>
        <v>95</v>
      </c>
      <c r="T64" cm="1">
        <f t="array" aca="1" ref="T64" ca="1">INDEX(INDIRECT(trust_cosdq_table),(ROW()-ROW(INDIRECT(trust_cosdq_cols))),MATCH(selected_cosdq_denom_xc,INDIRECT(trust_cosdq_cols),0))</f>
        <v>34</v>
      </c>
    </row>
    <row r="65" spans="1:20" x14ac:dyDescent="0.35">
      <c r="A65" t="s">
        <v>219</v>
      </c>
      <c r="B65" t="s">
        <v>220</v>
      </c>
      <c r="C65" t="s">
        <v>124</v>
      </c>
      <c r="D65" s="2">
        <v>83</v>
      </c>
      <c r="E65" s="2">
        <v>3</v>
      </c>
      <c r="F65" s="2">
        <v>14</v>
      </c>
      <c r="G65" s="2">
        <v>31</v>
      </c>
      <c r="H65" s="4">
        <v>0.01</v>
      </c>
      <c r="I65" s="4">
        <v>0.53</v>
      </c>
      <c r="J65" s="4">
        <v>0</v>
      </c>
      <c r="K65" s="4">
        <v>0.11</v>
      </c>
      <c r="L65" s="4">
        <v>0.02</v>
      </c>
      <c r="M65" s="4">
        <v>0.01</v>
      </c>
      <c r="N65" s="4">
        <v>0.33</v>
      </c>
      <c r="O65" s="4">
        <v>0</v>
      </c>
      <c r="P65" s="4">
        <v>0</v>
      </c>
      <c r="R65" s="4" cm="1">
        <f t="array" aca="1" ref="R65" ca="1">INDEX(INDIRECT(trust_cosdq_table),(ROW()-ROW(INDIRECT(trust_cosdq_cols))),MATCH(selected_cosdq_name_xc,INDIRECT(trust_cosdq_cols),0))</f>
        <v>0</v>
      </c>
      <c r="S65">
        <f ca="1">RANK(R65,R:R,0)+COUNTIF($R$2:R65,R65)-1</f>
        <v>96</v>
      </c>
      <c r="T65" cm="1">
        <f t="array" aca="1" ref="T65" ca="1">INDEX(INDIRECT(trust_cosdq_table),(ROW()-ROW(INDIRECT(trust_cosdq_cols))),MATCH(selected_cosdq_denom_xc,INDIRECT(trust_cosdq_cols),0))</f>
        <v>31</v>
      </c>
    </row>
    <row r="66" spans="1:20" x14ac:dyDescent="0.35">
      <c r="A66" t="s">
        <v>221</v>
      </c>
      <c r="B66" t="s">
        <v>222</v>
      </c>
      <c r="C66" t="s">
        <v>119</v>
      </c>
      <c r="D66" s="2">
        <v>29</v>
      </c>
      <c r="E66" s="2">
        <v>5</v>
      </c>
      <c r="F66" s="2">
        <v>3</v>
      </c>
      <c r="G66" s="2">
        <v>3</v>
      </c>
      <c r="H66" s="4">
        <v>0.03</v>
      </c>
      <c r="I66" s="4">
        <v>7.0000000000000007E-2</v>
      </c>
      <c r="J66" s="4">
        <v>0</v>
      </c>
      <c r="K66" s="4">
        <v>0</v>
      </c>
      <c r="L66" s="4">
        <v>0</v>
      </c>
      <c r="M66" s="4">
        <v>0</v>
      </c>
      <c r="N66" s="4">
        <v>0.2</v>
      </c>
      <c r="O66" s="4">
        <v>0</v>
      </c>
      <c r="P66" s="4">
        <v>0</v>
      </c>
      <c r="R66" s="4" cm="1">
        <f t="array" aca="1" ref="R66" ca="1">INDEX(INDIRECT(trust_cosdq_table),(ROW()-ROW(INDIRECT(trust_cosdq_cols))),MATCH(selected_cosdq_name_xc,INDIRECT(trust_cosdq_cols),0))</f>
        <v>0</v>
      </c>
      <c r="S66">
        <f ca="1">RANK(R66,R:R,0)+COUNTIF($R$2:R66,R66)-1</f>
        <v>97</v>
      </c>
      <c r="T66" cm="1">
        <f t="array" aca="1" ref="T66" ca="1">INDEX(INDIRECT(trust_cosdq_table),(ROW()-ROW(INDIRECT(trust_cosdq_cols))),MATCH(selected_cosdq_denom_xc,INDIRECT(trust_cosdq_cols),0))</f>
        <v>3</v>
      </c>
    </row>
    <row r="67" spans="1:20" x14ac:dyDescent="0.35">
      <c r="A67" t="s">
        <v>499</v>
      </c>
      <c r="B67" t="s">
        <v>223</v>
      </c>
      <c r="C67" t="s">
        <v>124</v>
      </c>
      <c r="D67" s="2">
        <v>79</v>
      </c>
      <c r="E67" s="2">
        <v>18</v>
      </c>
      <c r="F67" s="2">
        <v>11</v>
      </c>
      <c r="G67" s="2">
        <v>21</v>
      </c>
      <c r="H67" s="4">
        <v>0.56999999999999995</v>
      </c>
      <c r="I67" s="4">
        <v>0.47</v>
      </c>
      <c r="J67" s="4">
        <v>0.06</v>
      </c>
      <c r="K67" s="4">
        <v>0.15</v>
      </c>
      <c r="L67" s="4">
        <v>0.05</v>
      </c>
      <c r="M67" s="4">
        <v>0</v>
      </c>
      <c r="N67" s="4">
        <v>0.06</v>
      </c>
      <c r="O67" s="4">
        <v>0</v>
      </c>
      <c r="P67" s="4">
        <v>0</v>
      </c>
      <c r="R67" s="4" cm="1">
        <f t="array" aca="1" ref="R67" ca="1">INDEX(INDIRECT(trust_cosdq_table),(ROW()-ROW(INDIRECT(trust_cosdq_cols))),MATCH(selected_cosdq_name_xc,INDIRECT(trust_cosdq_cols),0))</f>
        <v>0</v>
      </c>
      <c r="S67">
        <f ca="1">RANK(R67,R:R,0)+COUNTIF($R$2:R67,R67)-1</f>
        <v>98</v>
      </c>
      <c r="T67" cm="1">
        <f t="array" aca="1" ref="T67" ca="1">INDEX(INDIRECT(trust_cosdq_table),(ROW()-ROW(INDIRECT(trust_cosdq_cols))),MATCH(selected_cosdq_denom_xc,INDIRECT(trust_cosdq_cols),0))</f>
        <v>21</v>
      </c>
    </row>
    <row r="68" spans="1:20" x14ac:dyDescent="0.35">
      <c r="A68" t="s">
        <v>224</v>
      </c>
      <c r="B68" t="s">
        <v>225</v>
      </c>
      <c r="C68" t="s">
        <v>102</v>
      </c>
      <c r="D68" s="2">
        <v>120</v>
      </c>
      <c r="E68" s="2">
        <v>12</v>
      </c>
      <c r="F68" s="2">
        <v>15</v>
      </c>
      <c r="G68" s="2">
        <v>15</v>
      </c>
      <c r="H68" s="4">
        <v>0.17</v>
      </c>
      <c r="I68" s="4">
        <v>0.45</v>
      </c>
      <c r="J68" s="4">
        <v>0</v>
      </c>
      <c r="K68" s="4">
        <v>0.03</v>
      </c>
      <c r="L68" s="4">
        <v>0.01</v>
      </c>
      <c r="M68" s="4">
        <v>0</v>
      </c>
      <c r="N68" s="4">
        <v>0.67</v>
      </c>
      <c r="O68" s="4">
        <v>0</v>
      </c>
      <c r="P68" s="4">
        <v>0</v>
      </c>
      <c r="R68" s="4" cm="1">
        <f t="array" aca="1" ref="R68" ca="1">INDEX(INDIRECT(trust_cosdq_table),(ROW()-ROW(INDIRECT(trust_cosdq_cols))),MATCH(selected_cosdq_name_xc,INDIRECT(trust_cosdq_cols),0))</f>
        <v>0</v>
      </c>
      <c r="S68">
        <f ca="1">RANK(R68,R:R,0)+COUNTIF($R$2:R68,R68)-1</f>
        <v>99</v>
      </c>
      <c r="T68" cm="1">
        <f t="array" aca="1" ref="T68" ca="1">INDEX(INDIRECT(trust_cosdq_table),(ROW()-ROW(INDIRECT(trust_cosdq_cols))),MATCH(selected_cosdq_denom_xc,INDIRECT(trust_cosdq_cols),0))</f>
        <v>15</v>
      </c>
    </row>
    <row r="69" spans="1:20" x14ac:dyDescent="0.35">
      <c r="A69" t="s">
        <v>226</v>
      </c>
      <c r="B69" t="s">
        <v>227</v>
      </c>
      <c r="C69" t="s">
        <v>98</v>
      </c>
      <c r="D69" s="2">
        <v>90</v>
      </c>
      <c r="E69" s="2">
        <v>17</v>
      </c>
      <c r="F69" s="2">
        <v>12</v>
      </c>
      <c r="G69" s="2">
        <v>29</v>
      </c>
      <c r="H69" s="4">
        <v>0.79</v>
      </c>
      <c r="I69" s="4">
        <v>0.49</v>
      </c>
      <c r="J69" s="4">
        <v>0</v>
      </c>
      <c r="K69" s="4">
        <v>0.06</v>
      </c>
      <c r="L69" s="4">
        <v>0.02</v>
      </c>
      <c r="M69" s="4">
        <v>0</v>
      </c>
      <c r="N69" s="4">
        <v>0.18</v>
      </c>
      <c r="O69" s="4">
        <v>0</v>
      </c>
      <c r="P69" s="4">
        <v>0</v>
      </c>
      <c r="R69" s="4" cm="1">
        <f t="array" aca="1" ref="R69" ca="1">INDEX(INDIRECT(trust_cosdq_table),(ROW()-ROW(INDIRECT(trust_cosdq_cols))),MATCH(selected_cosdq_name_xc,INDIRECT(trust_cosdq_cols),0))</f>
        <v>0</v>
      </c>
      <c r="S69">
        <f ca="1">RANK(R69,R:R,0)+COUNTIF($R$2:R69,R69)-1</f>
        <v>100</v>
      </c>
      <c r="T69" cm="1">
        <f t="array" aca="1" ref="T69" ca="1">INDEX(INDIRECT(trust_cosdq_table),(ROW()-ROW(INDIRECT(trust_cosdq_cols))),MATCH(selected_cosdq_denom_xc,INDIRECT(trust_cosdq_cols),0))</f>
        <v>29</v>
      </c>
    </row>
    <row r="70" spans="1:20" x14ac:dyDescent="0.35">
      <c r="A70" t="s">
        <v>486</v>
      </c>
      <c r="B70" t="s">
        <v>249</v>
      </c>
      <c r="C70" t="s">
        <v>108</v>
      </c>
      <c r="D70" s="2">
        <v>156</v>
      </c>
      <c r="E70" s="2">
        <v>11</v>
      </c>
      <c r="F70" s="2">
        <v>29</v>
      </c>
      <c r="G70" s="2">
        <v>16</v>
      </c>
      <c r="H70" s="4">
        <v>0.27</v>
      </c>
      <c r="I70" s="4">
        <v>0.37</v>
      </c>
      <c r="J70" s="4">
        <v>0.01</v>
      </c>
      <c r="K70" s="4">
        <v>0.05</v>
      </c>
      <c r="L70" s="4">
        <v>0</v>
      </c>
      <c r="M70" s="4">
        <v>0.03</v>
      </c>
      <c r="N70" s="4">
        <v>0.18</v>
      </c>
      <c r="O70" s="4">
        <v>0</v>
      </c>
      <c r="P70" s="4">
        <v>0.06</v>
      </c>
      <c r="R70" s="4" cm="1">
        <f t="array" aca="1" ref="R70" ca="1">INDEX(INDIRECT(trust_cosdq_table),(ROW()-ROW(INDIRECT(trust_cosdq_cols))),MATCH(selected_cosdq_name_xc,INDIRECT(trust_cosdq_cols),0))</f>
        <v>0.06</v>
      </c>
      <c r="S70">
        <f ca="1">RANK(R70,R:R,0)+COUNTIF($R$2:R70,R70)-1</f>
        <v>41</v>
      </c>
      <c r="T70" cm="1">
        <f t="array" aca="1" ref="T70" ca="1">INDEX(INDIRECT(trust_cosdq_table),(ROW()-ROW(INDIRECT(trust_cosdq_cols))),MATCH(selected_cosdq_denom_xc,INDIRECT(trust_cosdq_cols),0))</f>
        <v>16</v>
      </c>
    </row>
    <row r="71" spans="1:20" x14ac:dyDescent="0.35">
      <c r="A71" t="s">
        <v>228</v>
      </c>
      <c r="B71" t="s">
        <v>229</v>
      </c>
      <c r="C71" t="s">
        <v>469</v>
      </c>
      <c r="D71" s="2">
        <v>48</v>
      </c>
      <c r="E71" s="2">
        <v>4</v>
      </c>
      <c r="F71" s="2">
        <v>12</v>
      </c>
      <c r="G71" s="2">
        <v>18</v>
      </c>
      <c r="H71" s="4">
        <v>0.42</v>
      </c>
      <c r="I71" s="4">
        <v>0.73</v>
      </c>
      <c r="J71" s="4">
        <v>0</v>
      </c>
      <c r="K71" s="4">
        <v>0.08</v>
      </c>
      <c r="L71" s="4">
        <v>0.06</v>
      </c>
      <c r="M71" s="4">
        <v>0</v>
      </c>
      <c r="N71" s="4">
        <v>0.25</v>
      </c>
      <c r="O71" s="4">
        <v>0.08</v>
      </c>
      <c r="P71" s="4">
        <v>0.22</v>
      </c>
      <c r="R71" s="4" cm="1">
        <f t="array" aca="1" ref="R71" ca="1">INDEX(INDIRECT(trust_cosdq_table),(ROW()-ROW(INDIRECT(trust_cosdq_cols))),MATCH(selected_cosdq_name_xc,INDIRECT(trust_cosdq_cols),0))</f>
        <v>0.22</v>
      </c>
      <c r="S71">
        <f ca="1">RANK(R71,R:R,0)+COUNTIF($R$2:R71,R71)-1</f>
        <v>18</v>
      </c>
      <c r="T71" cm="1">
        <f t="array" aca="1" ref="T71" ca="1">INDEX(INDIRECT(trust_cosdq_table),(ROW()-ROW(INDIRECT(trust_cosdq_cols))),MATCH(selected_cosdq_denom_xc,INDIRECT(trust_cosdq_cols),0))</f>
        <v>18</v>
      </c>
    </row>
    <row r="72" spans="1:20" x14ac:dyDescent="0.35">
      <c r="A72" t="s">
        <v>230</v>
      </c>
      <c r="B72" t="s">
        <v>231</v>
      </c>
      <c r="C72" t="s">
        <v>124</v>
      </c>
      <c r="D72" s="2">
        <v>122</v>
      </c>
      <c r="E72" s="2">
        <v>35</v>
      </c>
      <c r="F72" s="2">
        <v>14</v>
      </c>
      <c r="G72" s="2">
        <v>32</v>
      </c>
      <c r="H72" s="4">
        <v>0.62</v>
      </c>
      <c r="I72" s="4">
        <v>0.34</v>
      </c>
      <c r="J72" s="4">
        <v>0.02</v>
      </c>
      <c r="K72" s="4">
        <v>0.1</v>
      </c>
      <c r="L72" s="4">
        <v>0.01</v>
      </c>
      <c r="M72" s="4">
        <v>0.01</v>
      </c>
      <c r="N72" s="4">
        <v>0.17</v>
      </c>
      <c r="O72" s="4">
        <v>0.14000000000000001</v>
      </c>
      <c r="P72" s="4">
        <v>0.13</v>
      </c>
      <c r="R72" s="4" cm="1">
        <f t="array" aca="1" ref="R72" ca="1">INDEX(INDIRECT(trust_cosdq_table),(ROW()-ROW(INDIRECT(trust_cosdq_cols))),MATCH(selected_cosdq_name_xc,INDIRECT(trust_cosdq_cols),0))</f>
        <v>0.13</v>
      </c>
      <c r="S72">
        <f ca="1">RANK(R72,R:R,0)+COUNTIF($R$2:R72,R72)-1</f>
        <v>31</v>
      </c>
      <c r="T72" cm="1">
        <f t="array" aca="1" ref="T72" ca="1">INDEX(INDIRECT(trust_cosdq_table),(ROW()-ROW(INDIRECT(trust_cosdq_cols))),MATCH(selected_cosdq_denom_xc,INDIRECT(trust_cosdq_cols),0))</f>
        <v>32</v>
      </c>
    </row>
    <row r="73" spans="1:20" x14ac:dyDescent="0.35">
      <c r="A73" t="s">
        <v>232</v>
      </c>
      <c r="B73" t="s">
        <v>233</v>
      </c>
      <c r="C73" t="s">
        <v>98</v>
      </c>
      <c r="D73" s="2">
        <v>222</v>
      </c>
      <c r="E73" s="2">
        <v>38</v>
      </c>
      <c r="F73" s="2">
        <v>26</v>
      </c>
      <c r="G73" s="2">
        <v>58</v>
      </c>
      <c r="H73" s="4">
        <v>0.59</v>
      </c>
      <c r="I73" s="4">
        <v>0.59</v>
      </c>
      <c r="J73" s="4">
        <v>0</v>
      </c>
      <c r="K73" s="4">
        <v>0.08</v>
      </c>
      <c r="L73" s="4">
        <v>0.02</v>
      </c>
      <c r="M73" s="4">
        <v>0</v>
      </c>
      <c r="N73" s="4">
        <v>0.71</v>
      </c>
      <c r="O73" s="4">
        <v>0.35</v>
      </c>
      <c r="P73" s="4">
        <v>0.36</v>
      </c>
      <c r="R73" s="4" cm="1">
        <f t="array" aca="1" ref="R73" ca="1">INDEX(INDIRECT(trust_cosdq_table),(ROW()-ROW(INDIRECT(trust_cosdq_cols))),MATCH(selected_cosdq_name_xc,INDIRECT(trust_cosdq_cols),0))</f>
        <v>0.36</v>
      </c>
      <c r="S73">
        <f ca="1">RANK(R73,R:R,0)+COUNTIF($R$2:R73,R73)-1</f>
        <v>9</v>
      </c>
      <c r="T73" cm="1">
        <f t="array" aca="1" ref="T73" ca="1">INDEX(INDIRECT(trust_cosdq_table),(ROW()-ROW(INDIRECT(trust_cosdq_cols))),MATCH(selected_cosdq_denom_xc,INDIRECT(trust_cosdq_cols),0))</f>
        <v>58</v>
      </c>
    </row>
    <row r="74" spans="1:20" x14ac:dyDescent="0.35">
      <c r="A74" t="s">
        <v>234</v>
      </c>
      <c r="B74" t="s">
        <v>235</v>
      </c>
      <c r="C74" t="s">
        <v>122</v>
      </c>
      <c r="D74" s="2">
        <v>173</v>
      </c>
      <c r="E74" s="2">
        <v>8</v>
      </c>
      <c r="F74" s="2">
        <v>28</v>
      </c>
      <c r="G74" s="2">
        <v>57</v>
      </c>
      <c r="H74" s="4">
        <v>0.55000000000000004</v>
      </c>
      <c r="I74" s="4">
        <v>0.25</v>
      </c>
      <c r="J74" s="4">
        <v>0</v>
      </c>
      <c r="K74" s="4">
        <v>7.0000000000000007E-2</v>
      </c>
      <c r="L74" s="4">
        <v>0.01</v>
      </c>
      <c r="M74" s="4">
        <v>0.01</v>
      </c>
      <c r="N74" s="4">
        <v>0</v>
      </c>
      <c r="O74" s="4">
        <v>0</v>
      </c>
      <c r="P74" s="4">
        <v>0</v>
      </c>
      <c r="R74" s="4" cm="1">
        <f t="array" aca="1" ref="R74" ca="1">INDEX(INDIRECT(trust_cosdq_table),(ROW()-ROW(INDIRECT(trust_cosdq_cols))),MATCH(selected_cosdq_name_xc,INDIRECT(trust_cosdq_cols),0))</f>
        <v>0</v>
      </c>
      <c r="S74">
        <f ca="1">RANK(R74,R:R,0)+COUNTIF($R$2:R74,R74)-1</f>
        <v>101</v>
      </c>
      <c r="T74" cm="1">
        <f t="array" aca="1" ref="T74" ca="1">INDEX(INDIRECT(trust_cosdq_table),(ROW()-ROW(INDIRECT(trust_cosdq_cols))),MATCH(selected_cosdq_denom_xc,INDIRECT(trust_cosdq_cols),0))</f>
        <v>57</v>
      </c>
    </row>
    <row r="75" spans="1:20" x14ac:dyDescent="0.35">
      <c r="A75" t="s">
        <v>478</v>
      </c>
      <c r="B75" t="s">
        <v>238</v>
      </c>
      <c r="C75" t="s">
        <v>142</v>
      </c>
      <c r="D75" s="2">
        <v>111</v>
      </c>
      <c r="E75" s="2">
        <v>30</v>
      </c>
      <c r="F75" s="2">
        <v>13</v>
      </c>
      <c r="G75" s="2">
        <v>38</v>
      </c>
      <c r="H75" s="4">
        <v>0.46</v>
      </c>
      <c r="I75" s="4">
        <v>0.33</v>
      </c>
      <c r="J75" s="4">
        <v>0.01</v>
      </c>
      <c r="K75" s="4">
        <v>0.15</v>
      </c>
      <c r="L75" s="4">
        <v>0.04</v>
      </c>
      <c r="M75" s="4">
        <v>0.01</v>
      </c>
      <c r="N75" s="4">
        <v>0.27</v>
      </c>
      <c r="O75" s="4">
        <v>0</v>
      </c>
      <c r="P75" s="4">
        <v>0</v>
      </c>
      <c r="R75" s="4" cm="1">
        <f t="array" aca="1" ref="R75" ca="1">INDEX(INDIRECT(trust_cosdq_table),(ROW()-ROW(INDIRECT(trust_cosdq_cols))),MATCH(selected_cosdq_name_xc,INDIRECT(trust_cosdq_cols),0))</f>
        <v>0</v>
      </c>
      <c r="S75">
        <f ca="1">RANK(R75,R:R,0)+COUNTIF($R$2:R75,R75)-1</f>
        <v>102</v>
      </c>
      <c r="T75" cm="1">
        <f t="array" aca="1" ref="T75" ca="1">INDEX(INDIRECT(trust_cosdq_table),(ROW()-ROW(INDIRECT(trust_cosdq_cols))),MATCH(selected_cosdq_denom_xc,INDIRECT(trust_cosdq_cols),0))</f>
        <v>38</v>
      </c>
    </row>
    <row r="76" spans="1:20" x14ac:dyDescent="0.35">
      <c r="A76" t="s">
        <v>491</v>
      </c>
      <c r="B76" t="s">
        <v>281</v>
      </c>
      <c r="C76" t="s">
        <v>105</v>
      </c>
      <c r="D76" s="2">
        <v>43</v>
      </c>
      <c r="E76" s="2">
        <v>6</v>
      </c>
      <c r="F76" s="2">
        <v>5</v>
      </c>
      <c r="G76" s="2">
        <v>5</v>
      </c>
      <c r="H76" s="4">
        <v>0.12</v>
      </c>
      <c r="I76" s="4">
        <v>0.28000000000000003</v>
      </c>
      <c r="J76" s="4">
        <v>0</v>
      </c>
      <c r="K76" s="4">
        <v>0.05</v>
      </c>
      <c r="L76" s="4">
        <v>0</v>
      </c>
      <c r="M76" s="4">
        <v>0</v>
      </c>
      <c r="N76" s="4">
        <v>0</v>
      </c>
      <c r="O76" s="4">
        <v>0</v>
      </c>
      <c r="P76" s="4">
        <v>0</v>
      </c>
      <c r="R76" s="4" cm="1">
        <f t="array" aca="1" ref="R76" ca="1">INDEX(INDIRECT(trust_cosdq_table),(ROW()-ROW(INDIRECT(trust_cosdq_cols))),MATCH(selected_cosdq_name_xc,INDIRECT(trust_cosdq_cols),0))</f>
        <v>0</v>
      </c>
      <c r="S76">
        <f ca="1">RANK(R76,R:R,0)+COUNTIF($R$2:R76,R76)-1</f>
        <v>103</v>
      </c>
      <c r="T76" cm="1">
        <f t="array" aca="1" ref="T76" ca="1">INDEX(INDIRECT(trust_cosdq_table),(ROW()-ROW(INDIRECT(trust_cosdq_cols))),MATCH(selected_cosdq_denom_xc,INDIRECT(trust_cosdq_cols),0))</f>
        <v>5</v>
      </c>
    </row>
    <row r="77" spans="1:20" x14ac:dyDescent="0.35">
      <c r="A77" t="s">
        <v>471</v>
      </c>
      <c r="B77" t="s">
        <v>282</v>
      </c>
      <c r="C77" t="s">
        <v>102</v>
      </c>
      <c r="D77" s="2">
        <v>69</v>
      </c>
      <c r="E77" s="2">
        <v>11</v>
      </c>
      <c r="F77" s="2">
        <v>7</v>
      </c>
      <c r="G77" s="2">
        <v>28</v>
      </c>
      <c r="H77" s="4">
        <v>0.48</v>
      </c>
      <c r="I77" s="4">
        <v>0.49</v>
      </c>
      <c r="J77" s="4">
        <v>0</v>
      </c>
      <c r="K77" s="4">
        <v>0.04</v>
      </c>
      <c r="L77" s="4">
        <v>0.01</v>
      </c>
      <c r="M77" s="4">
        <v>0</v>
      </c>
      <c r="N77" s="4">
        <v>0.18</v>
      </c>
      <c r="O77" s="4">
        <v>0.14000000000000001</v>
      </c>
      <c r="P77" s="4">
        <v>0</v>
      </c>
      <c r="R77" s="4" cm="1">
        <f t="array" aca="1" ref="R77" ca="1">INDEX(INDIRECT(trust_cosdq_table),(ROW()-ROW(INDIRECT(trust_cosdq_cols))),MATCH(selected_cosdq_name_xc,INDIRECT(trust_cosdq_cols),0))</f>
        <v>0</v>
      </c>
      <c r="S77">
        <f ca="1">RANK(R77,R:R,0)+COUNTIF($R$2:R77,R77)-1</f>
        <v>104</v>
      </c>
      <c r="T77" cm="1">
        <f t="array" aca="1" ref="T77" ca="1">INDEX(INDIRECT(trust_cosdq_table),(ROW()-ROW(INDIRECT(trust_cosdq_cols))),MATCH(selected_cosdq_denom_xc,INDIRECT(trust_cosdq_cols),0))</f>
        <v>28</v>
      </c>
    </row>
    <row r="78" spans="1:20" x14ac:dyDescent="0.35">
      <c r="A78" t="s">
        <v>489</v>
      </c>
      <c r="B78" t="s">
        <v>510</v>
      </c>
      <c r="C78" t="s">
        <v>97</v>
      </c>
      <c r="D78" s="2">
        <v>8</v>
      </c>
      <c r="E78" s="2"/>
      <c r="F78" s="2">
        <v>1</v>
      </c>
      <c r="G78" s="2">
        <v>1</v>
      </c>
      <c r="H78" s="4">
        <v>0</v>
      </c>
      <c r="I78" s="4">
        <v>0.5</v>
      </c>
      <c r="J78" s="4">
        <v>0</v>
      </c>
      <c r="K78" s="4">
        <v>0</v>
      </c>
      <c r="L78" s="4">
        <v>0</v>
      </c>
      <c r="M78" s="4">
        <v>0</v>
      </c>
      <c r="N78" s="4">
        <v>0</v>
      </c>
      <c r="O78" s="4">
        <v>0</v>
      </c>
      <c r="P78" s="4">
        <v>0</v>
      </c>
      <c r="R78" s="4" cm="1">
        <f t="array" aca="1" ref="R78" ca="1">INDEX(INDIRECT(trust_cosdq_table),(ROW()-ROW(INDIRECT(trust_cosdq_cols))),MATCH(selected_cosdq_name_xc,INDIRECT(trust_cosdq_cols),0))</f>
        <v>0</v>
      </c>
      <c r="S78">
        <f ca="1">RANK(R78,R:R,0)+COUNTIF($R$2:R78,R78)-1</f>
        <v>105</v>
      </c>
      <c r="T78" cm="1">
        <f t="array" aca="1" ref="T78" ca="1">INDEX(INDIRECT(trust_cosdq_table),(ROW()-ROW(INDIRECT(trust_cosdq_cols))),MATCH(selected_cosdq_denom_xc,INDIRECT(trust_cosdq_cols),0))</f>
        <v>1</v>
      </c>
    </row>
    <row r="79" spans="1:20" x14ac:dyDescent="0.35">
      <c r="A79" t="s">
        <v>484</v>
      </c>
      <c r="B79" t="s">
        <v>508</v>
      </c>
      <c r="C79" t="s">
        <v>145</v>
      </c>
      <c r="D79" s="2">
        <v>2</v>
      </c>
      <c r="E79" s="2"/>
      <c r="F79" s="2"/>
      <c r="G79" s="2">
        <v>2</v>
      </c>
      <c r="H79" s="4">
        <v>0.5</v>
      </c>
      <c r="I79" s="4">
        <v>0.5</v>
      </c>
      <c r="J79" s="4">
        <v>0</v>
      </c>
      <c r="K79" s="4">
        <v>0.5</v>
      </c>
      <c r="L79" s="4">
        <v>0</v>
      </c>
      <c r="M79" s="4">
        <v>0</v>
      </c>
      <c r="N79" s="4">
        <v>0</v>
      </c>
      <c r="O79" s="4">
        <v>0</v>
      </c>
      <c r="P79" s="4">
        <v>0</v>
      </c>
      <c r="R79" s="4" cm="1">
        <f t="array" aca="1" ref="R79" ca="1">INDEX(INDIRECT(trust_cosdq_table),(ROW()-ROW(INDIRECT(trust_cosdq_cols))),MATCH(selected_cosdq_name_xc,INDIRECT(trust_cosdq_cols),0))</f>
        <v>0</v>
      </c>
      <c r="S79">
        <f ca="1">RANK(R79,R:R,0)+COUNTIF($R$2:R79,R79)-1</f>
        <v>106</v>
      </c>
      <c r="T79" cm="1">
        <f t="array" aca="1" ref="T79" ca="1">INDEX(INDIRECT(trust_cosdq_table),(ROW()-ROW(INDIRECT(trust_cosdq_cols))),MATCH(selected_cosdq_denom_xc,INDIRECT(trust_cosdq_cols),0))</f>
        <v>2</v>
      </c>
    </row>
    <row r="80" spans="1:20" x14ac:dyDescent="0.35">
      <c r="A80" t="s">
        <v>475</v>
      </c>
      <c r="B80" t="s">
        <v>283</v>
      </c>
      <c r="C80" t="s">
        <v>104</v>
      </c>
      <c r="D80" s="2">
        <v>48</v>
      </c>
      <c r="E80" s="2">
        <v>5</v>
      </c>
      <c r="F80" s="2">
        <v>7</v>
      </c>
      <c r="G80" s="2">
        <v>3</v>
      </c>
      <c r="H80" s="4">
        <v>0.46</v>
      </c>
      <c r="I80" s="4">
        <v>0.35</v>
      </c>
      <c r="J80" s="4">
        <v>0.02</v>
      </c>
      <c r="K80" s="4">
        <v>0.06</v>
      </c>
      <c r="L80" s="4">
        <v>0</v>
      </c>
      <c r="M80" s="4">
        <v>0.06</v>
      </c>
      <c r="N80" s="4">
        <v>0.6</v>
      </c>
      <c r="O80" s="4">
        <v>0</v>
      </c>
      <c r="P80" s="4">
        <v>0</v>
      </c>
      <c r="R80" s="4" cm="1">
        <f t="array" aca="1" ref="R80" ca="1">INDEX(INDIRECT(trust_cosdq_table),(ROW()-ROW(INDIRECT(trust_cosdq_cols))),MATCH(selected_cosdq_name_xc,INDIRECT(trust_cosdq_cols),0))</f>
        <v>0</v>
      </c>
      <c r="S80">
        <f ca="1">RANK(R80,R:R,0)+COUNTIF($R$2:R80,R80)-1</f>
        <v>107</v>
      </c>
      <c r="T80" cm="1">
        <f t="array" aca="1" ref="T80" ca="1">INDEX(INDIRECT(trust_cosdq_table),(ROW()-ROW(INDIRECT(trust_cosdq_cols))),MATCH(selected_cosdq_denom_xc,INDIRECT(trust_cosdq_cols),0))</f>
        <v>3</v>
      </c>
    </row>
    <row r="81" spans="1:20" x14ac:dyDescent="0.35">
      <c r="A81" t="s">
        <v>239</v>
      </c>
      <c r="B81" t="s">
        <v>240</v>
      </c>
      <c r="C81" t="s">
        <v>122</v>
      </c>
      <c r="D81" s="2">
        <v>107</v>
      </c>
      <c r="E81" s="2">
        <v>14</v>
      </c>
      <c r="F81" s="2">
        <v>15</v>
      </c>
      <c r="G81" s="2">
        <v>37</v>
      </c>
      <c r="H81" s="4">
        <v>0.74</v>
      </c>
      <c r="I81" s="4">
        <v>0.56000000000000005</v>
      </c>
      <c r="J81" s="4">
        <v>0.02</v>
      </c>
      <c r="K81" s="4">
        <v>0.15</v>
      </c>
      <c r="L81" s="4">
        <v>0.02</v>
      </c>
      <c r="M81" s="4">
        <v>0</v>
      </c>
      <c r="N81" s="4">
        <v>0.36</v>
      </c>
      <c r="O81" s="4">
        <v>0</v>
      </c>
      <c r="P81" s="4">
        <v>0</v>
      </c>
      <c r="R81" s="4" cm="1">
        <f t="array" aca="1" ref="R81" ca="1">INDEX(INDIRECT(trust_cosdq_table),(ROW()-ROW(INDIRECT(trust_cosdq_cols))),MATCH(selected_cosdq_name_xc,INDIRECT(trust_cosdq_cols),0))</f>
        <v>0</v>
      </c>
      <c r="S81">
        <f ca="1">RANK(R81,R:R,0)+COUNTIF($R$2:R81,R81)-1</f>
        <v>108</v>
      </c>
      <c r="T81" cm="1">
        <f t="array" aca="1" ref="T81" ca="1">INDEX(INDIRECT(trust_cosdq_table),(ROW()-ROW(INDIRECT(trust_cosdq_cols))),MATCH(selected_cosdq_denom_xc,INDIRECT(trust_cosdq_cols),0))</f>
        <v>37</v>
      </c>
    </row>
    <row r="82" spans="1:20" x14ac:dyDescent="0.35">
      <c r="A82" t="s">
        <v>241</v>
      </c>
      <c r="B82" t="s">
        <v>242</v>
      </c>
      <c r="C82" t="s">
        <v>127</v>
      </c>
      <c r="D82" s="2">
        <v>117</v>
      </c>
      <c r="E82" s="2">
        <v>26</v>
      </c>
      <c r="F82" s="2">
        <v>15</v>
      </c>
      <c r="G82" s="2">
        <v>29</v>
      </c>
      <c r="H82" s="4">
        <v>0.37</v>
      </c>
      <c r="I82" s="4">
        <v>0.49</v>
      </c>
      <c r="J82" s="4">
        <v>0.03</v>
      </c>
      <c r="K82" s="4">
        <v>0.15</v>
      </c>
      <c r="L82" s="4">
        <v>0.06</v>
      </c>
      <c r="M82" s="4">
        <v>0.01</v>
      </c>
      <c r="N82" s="4">
        <v>0.12</v>
      </c>
      <c r="O82" s="4">
        <v>0.27</v>
      </c>
      <c r="P82" s="4">
        <v>0.24</v>
      </c>
      <c r="R82" s="4" cm="1">
        <f t="array" aca="1" ref="R82" ca="1">INDEX(INDIRECT(trust_cosdq_table),(ROW()-ROW(INDIRECT(trust_cosdq_cols))),MATCH(selected_cosdq_name_xc,INDIRECT(trust_cosdq_cols),0))</f>
        <v>0.24</v>
      </c>
      <c r="S82">
        <f ca="1">RANK(R82,R:R,0)+COUNTIF($R$2:R82,R82)-1</f>
        <v>15</v>
      </c>
      <c r="T82" cm="1">
        <f t="array" aca="1" ref="T82" ca="1">INDEX(INDIRECT(trust_cosdq_table),(ROW()-ROW(INDIRECT(trust_cosdq_cols))),MATCH(selected_cosdq_denom_xc,INDIRECT(trust_cosdq_cols),0))</f>
        <v>29</v>
      </c>
    </row>
    <row r="83" spans="1:20" x14ac:dyDescent="0.35">
      <c r="A83" t="s">
        <v>477</v>
      </c>
      <c r="B83" t="s">
        <v>243</v>
      </c>
      <c r="C83" t="s">
        <v>127</v>
      </c>
      <c r="D83" s="2">
        <v>174</v>
      </c>
      <c r="E83" s="2">
        <v>12</v>
      </c>
      <c r="F83" s="2">
        <v>27</v>
      </c>
      <c r="G83" s="2">
        <v>13</v>
      </c>
      <c r="H83" s="4">
        <v>0.12</v>
      </c>
      <c r="I83" s="4">
        <v>0.26</v>
      </c>
      <c r="J83" s="4">
        <v>0.01</v>
      </c>
      <c r="K83" s="4">
        <v>0.06</v>
      </c>
      <c r="L83" s="4">
        <v>0.02</v>
      </c>
      <c r="M83" s="4">
        <v>0</v>
      </c>
      <c r="N83" s="4">
        <v>0.57999999999999996</v>
      </c>
      <c r="O83" s="4">
        <v>7.0000000000000007E-2</v>
      </c>
      <c r="P83" s="4">
        <v>0.08</v>
      </c>
      <c r="R83" s="4" cm="1">
        <f t="array" aca="1" ref="R83" ca="1">INDEX(INDIRECT(trust_cosdq_table),(ROW()-ROW(INDIRECT(trust_cosdq_cols))),MATCH(selected_cosdq_name_xc,INDIRECT(trust_cosdq_cols),0))</f>
        <v>0.08</v>
      </c>
      <c r="S83">
        <f ca="1">RANK(R83,R:R,0)+COUNTIF($R$2:R83,R83)-1</f>
        <v>39</v>
      </c>
      <c r="T83" cm="1">
        <f t="array" aca="1" ref="T83" ca="1">INDEX(INDIRECT(trust_cosdq_table),(ROW()-ROW(INDIRECT(trust_cosdq_cols))),MATCH(selected_cosdq_denom_xc,INDIRECT(trust_cosdq_cols),0))</f>
        <v>13</v>
      </c>
    </row>
    <row r="84" spans="1:20" x14ac:dyDescent="0.35">
      <c r="A84" t="s">
        <v>244</v>
      </c>
      <c r="B84" t="s">
        <v>245</v>
      </c>
      <c r="C84" t="s">
        <v>119</v>
      </c>
      <c r="D84" s="2">
        <v>122</v>
      </c>
      <c r="E84" s="2">
        <v>30</v>
      </c>
      <c r="F84" s="2">
        <v>13</v>
      </c>
      <c r="G84" s="2">
        <v>36</v>
      </c>
      <c r="H84" s="4">
        <v>0.16</v>
      </c>
      <c r="I84" s="4">
        <v>0.39</v>
      </c>
      <c r="J84" s="4">
        <v>0.01</v>
      </c>
      <c r="K84" s="4">
        <v>0.02</v>
      </c>
      <c r="L84" s="4">
        <v>0.01</v>
      </c>
      <c r="M84" s="4">
        <v>0.03</v>
      </c>
      <c r="N84" s="4">
        <v>0.47</v>
      </c>
      <c r="O84" s="4">
        <v>0.31</v>
      </c>
      <c r="P84" s="4">
        <v>0.11</v>
      </c>
      <c r="R84" s="4" cm="1">
        <f t="array" aca="1" ref="R84" ca="1">INDEX(INDIRECT(trust_cosdq_table),(ROW()-ROW(INDIRECT(trust_cosdq_cols))),MATCH(selected_cosdq_name_xc,INDIRECT(trust_cosdq_cols),0))</f>
        <v>0.11</v>
      </c>
      <c r="S84">
        <f ca="1">RANK(R84,R:R,0)+COUNTIF($R$2:R84,R84)-1</f>
        <v>34</v>
      </c>
      <c r="T84" cm="1">
        <f t="array" aca="1" ref="T84" ca="1">INDEX(INDIRECT(trust_cosdq_table),(ROW()-ROW(INDIRECT(trust_cosdq_cols))),MATCH(selected_cosdq_denom_xc,INDIRECT(trust_cosdq_cols),0))</f>
        <v>36</v>
      </c>
    </row>
    <row r="85" spans="1:20" x14ac:dyDescent="0.35">
      <c r="A85" t="s">
        <v>490</v>
      </c>
      <c r="B85" t="s">
        <v>284</v>
      </c>
      <c r="C85" t="s">
        <v>462</v>
      </c>
      <c r="D85" s="2">
        <v>102</v>
      </c>
      <c r="E85" s="2">
        <v>1</v>
      </c>
      <c r="F85" s="2">
        <v>17</v>
      </c>
      <c r="G85" s="2">
        <v>22</v>
      </c>
      <c r="H85" s="4">
        <v>0.17</v>
      </c>
      <c r="I85" s="4">
        <v>0.45</v>
      </c>
      <c r="J85" s="4">
        <v>0</v>
      </c>
      <c r="K85" s="4">
        <v>0.02</v>
      </c>
      <c r="L85" s="4">
        <v>0</v>
      </c>
      <c r="M85" s="4">
        <v>0.01</v>
      </c>
      <c r="N85" s="4">
        <v>1</v>
      </c>
      <c r="O85" s="4">
        <v>0</v>
      </c>
      <c r="P85" s="4">
        <v>0.05</v>
      </c>
      <c r="R85" s="4" cm="1">
        <f t="array" aca="1" ref="R85" ca="1">INDEX(INDIRECT(trust_cosdq_table),(ROW()-ROW(INDIRECT(trust_cosdq_cols))),MATCH(selected_cosdq_name_xc,INDIRECT(trust_cosdq_cols),0))</f>
        <v>0.05</v>
      </c>
      <c r="S85">
        <f ca="1">RANK(R85,R:R,0)+COUNTIF($R$2:R85,R85)-1</f>
        <v>42</v>
      </c>
      <c r="T85" cm="1">
        <f t="array" aca="1" ref="T85" ca="1">INDEX(INDIRECT(trust_cosdq_table),(ROW()-ROW(INDIRECT(trust_cosdq_cols))),MATCH(selected_cosdq_denom_xc,INDIRECT(trust_cosdq_cols),0))</f>
        <v>22</v>
      </c>
    </row>
    <row r="86" spans="1:20" x14ac:dyDescent="0.35">
      <c r="A86" t="s">
        <v>465</v>
      </c>
      <c r="B86" t="s">
        <v>506</v>
      </c>
      <c r="C86" t="s">
        <v>119</v>
      </c>
      <c r="D86" s="2">
        <v>36</v>
      </c>
      <c r="E86" s="2"/>
      <c r="F86" s="2">
        <v>2</v>
      </c>
      <c r="G86" s="2">
        <v>9</v>
      </c>
      <c r="H86" s="4">
        <v>0.08</v>
      </c>
      <c r="I86" s="4">
        <v>0.19</v>
      </c>
      <c r="J86" s="4">
        <v>0</v>
      </c>
      <c r="K86" s="4">
        <v>0.11</v>
      </c>
      <c r="L86" s="4">
        <v>0</v>
      </c>
      <c r="M86" s="4">
        <v>0</v>
      </c>
      <c r="N86" s="4">
        <v>0</v>
      </c>
      <c r="O86" s="4">
        <v>0</v>
      </c>
      <c r="P86" s="4">
        <v>0</v>
      </c>
      <c r="R86" s="4" cm="1">
        <f t="array" aca="1" ref="R86" ca="1">INDEX(INDIRECT(trust_cosdq_table),(ROW()-ROW(INDIRECT(trust_cosdq_cols))),MATCH(selected_cosdq_name_xc,INDIRECT(trust_cosdq_cols),0))</f>
        <v>0</v>
      </c>
      <c r="S86">
        <f ca="1">RANK(R86,R:R,0)+COUNTIF($R$2:R86,R86)-1</f>
        <v>109</v>
      </c>
      <c r="T86" cm="1">
        <f t="array" aca="1" ref="T86" ca="1">INDEX(INDIRECT(trust_cosdq_table),(ROW()-ROW(INDIRECT(trust_cosdq_cols))),MATCH(selected_cosdq_denom_xc,INDIRECT(trust_cosdq_cols),0))</f>
        <v>9</v>
      </c>
    </row>
    <row r="87" spans="1:20" x14ac:dyDescent="0.35">
      <c r="A87" t="s">
        <v>493</v>
      </c>
      <c r="B87" t="s">
        <v>511</v>
      </c>
      <c r="C87" t="s">
        <v>145</v>
      </c>
      <c r="D87" s="2">
        <v>11</v>
      </c>
      <c r="E87" s="2"/>
      <c r="F87" s="2"/>
      <c r="G87" s="2">
        <v>7</v>
      </c>
      <c r="H87" s="4">
        <v>0.45</v>
      </c>
      <c r="I87" s="4">
        <v>0.55000000000000004</v>
      </c>
      <c r="J87" s="4">
        <v>0</v>
      </c>
      <c r="K87" s="4">
        <v>0.27</v>
      </c>
      <c r="L87" s="4">
        <v>0</v>
      </c>
      <c r="M87" s="4">
        <v>0</v>
      </c>
      <c r="N87" s="4">
        <v>0</v>
      </c>
      <c r="O87" s="4">
        <v>0</v>
      </c>
      <c r="P87" s="4">
        <v>0</v>
      </c>
      <c r="R87" s="4" cm="1">
        <f t="array" aca="1" ref="R87" ca="1">INDEX(INDIRECT(trust_cosdq_table),(ROW()-ROW(INDIRECT(trust_cosdq_cols))),MATCH(selected_cosdq_name_xc,INDIRECT(trust_cosdq_cols),0))</f>
        <v>0</v>
      </c>
      <c r="S87">
        <f ca="1">RANK(R87,R:R,0)+COUNTIF($R$2:R87,R87)-1</f>
        <v>110</v>
      </c>
      <c r="T87" cm="1">
        <f t="array" aca="1" ref="T87" ca="1">INDEX(INDIRECT(trust_cosdq_table),(ROW()-ROW(INDIRECT(trust_cosdq_cols))),MATCH(selected_cosdq_denom_xc,INDIRECT(trust_cosdq_cols),0))</f>
        <v>7</v>
      </c>
    </row>
    <row r="88" spans="1:20" x14ac:dyDescent="0.35">
      <c r="A88" t="s">
        <v>476</v>
      </c>
      <c r="B88" t="s">
        <v>236</v>
      </c>
      <c r="C88" t="s">
        <v>102</v>
      </c>
      <c r="D88" s="2">
        <v>1</v>
      </c>
      <c r="E88" s="2"/>
      <c r="F88" s="2"/>
      <c r="G88" s="2"/>
      <c r="H88" s="4">
        <v>0</v>
      </c>
      <c r="I88" s="4">
        <v>0</v>
      </c>
      <c r="J88" s="4">
        <v>0</v>
      </c>
      <c r="K88" s="4">
        <v>0</v>
      </c>
      <c r="L88" s="4">
        <v>0</v>
      </c>
      <c r="M88" s="4">
        <v>0</v>
      </c>
      <c r="N88" s="4">
        <v>0</v>
      </c>
      <c r="O88" s="4">
        <v>0</v>
      </c>
      <c r="P88" s="4">
        <v>0</v>
      </c>
      <c r="R88" s="4" cm="1">
        <f t="array" aca="1" ref="R88" ca="1">INDEX(INDIRECT(trust_cosdq_table),(ROW()-ROW(INDIRECT(trust_cosdq_cols))),MATCH(selected_cosdq_name_xc,INDIRECT(trust_cosdq_cols),0))</f>
        <v>0</v>
      </c>
      <c r="S88">
        <f ca="1">RANK(R88,R:R,0)+COUNTIF($R$2:R88,R88)-1</f>
        <v>111</v>
      </c>
      <c r="T88" cm="1">
        <f t="array" aca="1" ref="T88" ca="1">INDEX(INDIRECT(trust_cosdq_table),(ROW()-ROW(INDIRECT(trust_cosdq_cols))),MATCH(selected_cosdq_denom_xc,INDIRECT(trust_cosdq_cols),0))</f>
        <v>0</v>
      </c>
    </row>
    <row r="89" spans="1:20" x14ac:dyDescent="0.35">
      <c r="A89" t="s">
        <v>246</v>
      </c>
      <c r="B89" t="s">
        <v>247</v>
      </c>
      <c r="C89" t="s">
        <v>97</v>
      </c>
      <c r="D89" s="2">
        <v>85</v>
      </c>
      <c r="E89" s="2">
        <v>11</v>
      </c>
      <c r="F89" s="2">
        <v>8</v>
      </c>
      <c r="G89" s="2">
        <v>38</v>
      </c>
      <c r="H89" s="4">
        <v>0.72</v>
      </c>
      <c r="I89" s="4">
        <v>0.56000000000000005</v>
      </c>
      <c r="J89" s="4">
        <v>0</v>
      </c>
      <c r="K89" s="4">
        <v>0.06</v>
      </c>
      <c r="L89" s="4">
        <v>0.04</v>
      </c>
      <c r="M89" s="4">
        <v>0.01</v>
      </c>
      <c r="N89" s="4">
        <v>0.45</v>
      </c>
      <c r="O89" s="4">
        <v>0.13</v>
      </c>
      <c r="P89" s="4">
        <v>0.16</v>
      </c>
      <c r="R89" s="4" cm="1">
        <f t="array" aca="1" ref="R89" ca="1">INDEX(INDIRECT(trust_cosdq_table),(ROW()-ROW(INDIRECT(trust_cosdq_cols))),MATCH(selected_cosdq_name_xc,INDIRECT(trust_cosdq_cols),0))</f>
        <v>0.16</v>
      </c>
      <c r="S89">
        <f ca="1">RANK(R89,R:R,0)+COUNTIF($R$2:R89,R89)-1</f>
        <v>26</v>
      </c>
      <c r="T89" cm="1">
        <f t="array" aca="1" ref="T89" ca="1">INDEX(INDIRECT(trust_cosdq_table),(ROW()-ROW(INDIRECT(trust_cosdq_cols))),MATCH(selected_cosdq_denom_xc,INDIRECT(trust_cosdq_cols),0))</f>
        <v>38</v>
      </c>
    </row>
    <row r="90" spans="1:20" x14ac:dyDescent="0.35">
      <c r="A90" t="s">
        <v>472</v>
      </c>
      <c r="B90" t="s">
        <v>248</v>
      </c>
      <c r="C90" t="s">
        <v>464</v>
      </c>
      <c r="D90" s="2">
        <v>130</v>
      </c>
      <c r="E90" s="2">
        <v>28</v>
      </c>
      <c r="F90" s="2">
        <v>10</v>
      </c>
      <c r="G90" s="2">
        <v>40</v>
      </c>
      <c r="H90" s="4">
        <v>0.62</v>
      </c>
      <c r="I90" s="4">
        <v>0.35</v>
      </c>
      <c r="J90" s="4">
        <v>0.04</v>
      </c>
      <c r="K90" s="4">
        <v>0.15</v>
      </c>
      <c r="L90" s="4">
        <v>0.06</v>
      </c>
      <c r="M90" s="4">
        <v>0</v>
      </c>
      <c r="N90" s="4">
        <v>0</v>
      </c>
      <c r="O90" s="4">
        <v>0</v>
      </c>
      <c r="P90" s="4">
        <v>0.05</v>
      </c>
      <c r="R90" s="4" cm="1">
        <f t="array" aca="1" ref="R90" ca="1">INDEX(INDIRECT(trust_cosdq_table),(ROW()-ROW(INDIRECT(trust_cosdq_cols))),MATCH(selected_cosdq_name_xc,INDIRECT(trust_cosdq_cols),0))</f>
        <v>0.05</v>
      </c>
      <c r="S90">
        <f ca="1">RANK(R90,R:R,0)+COUNTIF($R$2:R90,R90)-1</f>
        <v>43</v>
      </c>
      <c r="T90" cm="1">
        <f t="array" aca="1" ref="T90" ca="1">INDEX(INDIRECT(trust_cosdq_table),(ROW()-ROW(INDIRECT(trust_cosdq_cols))),MATCH(selected_cosdq_denom_xc,INDIRECT(trust_cosdq_cols),0))</f>
        <v>40</v>
      </c>
    </row>
    <row r="91" spans="1:20" x14ac:dyDescent="0.35">
      <c r="A91" t="s">
        <v>485</v>
      </c>
      <c r="B91" t="s">
        <v>285</v>
      </c>
      <c r="C91" t="s">
        <v>145</v>
      </c>
      <c r="D91" s="2">
        <v>98</v>
      </c>
      <c r="E91" s="2">
        <v>27</v>
      </c>
      <c r="F91" s="2">
        <v>9</v>
      </c>
      <c r="G91" s="2">
        <v>22</v>
      </c>
      <c r="H91" s="4">
        <v>0.54</v>
      </c>
      <c r="I91" s="4">
        <v>0.45</v>
      </c>
      <c r="J91" s="4">
        <v>0</v>
      </c>
      <c r="K91" s="4">
        <v>0.05</v>
      </c>
      <c r="L91" s="4">
        <v>0.02</v>
      </c>
      <c r="M91" s="4">
        <v>0</v>
      </c>
      <c r="N91" s="4">
        <v>0.41</v>
      </c>
      <c r="O91" s="4">
        <v>0.11</v>
      </c>
      <c r="P91" s="4">
        <v>0.23</v>
      </c>
      <c r="R91" s="4" cm="1">
        <f t="array" aca="1" ref="R91" ca="1">INDEX(INDIRECT(trust_cosdq_table),(ROW()-ROW(INDIRECT(trust_cosdq_cols))),MATCH(selected_cosdq_name_xc,INDIRECT(trust_cosdq_cols),0))</f>
        <v>0.23</v>
      </c>
      <c r="S91">
        <f ca="1">RANK(R91,R:R,0)+COUNTIF($R$2:R91,R91)-1</f>
        <v>17</v>
      </c>
      <c r="T91" cm="1">
        <f t="array" aca="1" ref="T91" ca="1">INDEX(INDIRECT(trust_cosdq_table),(ROW()-ROW(INDIRECT(trust_cosdq_cols))),MATCH(selected_cosdq_denom_xc,INDIRECT(trust_cosdq_cols),0))</f>
        <v>22</v>
      </c>
    </row>
    <row r="92" spans="1:20" x14ac:dyDescent="0.35">
      <c r="A92" t="s">
        <v>250</v>
      </c>
      <c r="B92" t="s">
        <v>251</v>
      </c>
      <c r="C92" t="s">
        <v>464</v>
      </c>
      <c r="D92" s="2">
        <v>58</v>
      </c>
      <c r="E92" s="2">
        <v>9</v>
      </c>
      <c r="F92" s="2">
        <v>10</v>
      </c>
      <c r="G92" s="2">
        <v>17</v>
      </c>
      <c r="H92" s="4">
        <v>0.56999999999999995</v>
      </c>
      <c r="I92" s="4">
        <v>0.52</v>
      </c>
      <c r="J92" s="4">
        <v>0</v>
      </c>
      <c r="K92" s="4">
        <v>7.0000000000000007E-2</v>
      </c>
      <c r="L92" s="4">
        <v>0.02</v>
      </c>
      <c r="M92" s="4">
        <v>0.03</v>
      </c>
      <c r="N92" s="4">
        <v>0.11</v>
      </c>
      <c r="O92" s="4">
        <v>0.1</v>
      </c>
      <c r="P92" s="4">
        <v>0</v>
      </c>
      <c r="R92" s="4" cm="1">
        <f t="array" aca="1" ref="R92" ca="1">INDEX(INDIRECT(trust_cosdq_table),(ROW()-ROW(INDIRECT(trust_cosdq_cols))),MATCH(selected_cosdq_name_xc,INDIRECT(trust_cosdq_cols),0))</f>
        <v>0</v>
      </c>
      <c r="S92">
        <f ca="1">RANK(R92,R:R,0)+COUNTIF($R$2:R92,R92)-1</f>
        <v>112</v>
      </c>
      <c r="T92" cm="1">
        <f t="array" aca="1" ref="T92" ca="1">INDEX(INDIRECT(trust_cosdq_table),(ROW()-ROW(INDIRECT(trust_cosdq_cols))),MATCH(selected_cosdq_denom_xc,INDIRECT(trust_cosdq_cols),0))</f>
        <v>17</v>
      </c>
    </row>
    <row r="93" spans="1:20" x14ac:dyDescent="0.35">
      <c r="A93" t="s">
        <v>252</v>
      </c>
      <c r="B93" t="s">
        <v>253</v>
      </c>
      <c r="C93" t="s">
        <v>145</v>
      </c>
      <c r="D93" s="2">
        <v>97</v>
      </c>
      <c r="E93" s="2">
        <v>27</v>
      </c>
      <c r="F93" s="2">
        <v>9</v>
      </c>
      <c r="G93" s="2">
        <v>32</v>
      </c>
      <c r="H93" s="4">
        <v>0.22</v>
      </c>
      <c r="I93" s="4">
        <v>0.32</v>
      </c>
      <c r="J93" s="4">
        <v>0.01</v>
      </c>
      <c r="K93" s="4">
        <v>0.01</v>
      </c>
      <c r="L93" s="4">
        <v>0</v>
      </c>
      <c r="M93" s="4">
        <v>0.01</v>
      </c>
      <c r="N93" s="4">
        <v>0.19</v>
      </c>
      <c r="O93" s="4">
        <v>0.44</v>
      </c>
      <c r="P93" s="4">
        <v>0.03</v>
      </c>
      <c r="R93" s="4" cm="1">
        <f t="array" aca="1" ref="R93" ca="1">INDEX(INDIRECT(trust_cosdq_table),(ROW()-ROW(INDIRECT(trust_cosdq_cols))),MATCH(selected_cosdq_name_xc,INDIRECT(trust_cosdq_cols),0))</f>
        <v>0.03</v>
      </c>
      <c r="S93">
        <f ca="1">RANK(R93,R:R,0)+COUNTIF($R$2:R93,R93)-1</f>
        <v>48</v>
      </c>
      <c r="T93" cm="1">
        <f t="array" aca="1" ref="T93" ca="1">INDEX(INDIRECT(trust_cosdq_table),(ROW()-ROW(INDIRECT(trust_cosdq_cols))),MATCH(selected_cosdq_denom_xc,INDIRECT(trust_cosdq_cols),0))</f>
        <v>32</v>
      </c>
    </row>
    <row r="94" spans="1:20" x14ac:dyDescent="0.35">
      <c r="A94" t="s">
        <v>254</v>
      </c>
      <c r="B94" t="s">
        <v>255</v>
      </c>
      <c r="C94" t="s">
        <v>104</v>
      </c>
      <c r="D94" s="2">
        <v>113</v>
      </c>
      <c r="E94" s="2">
        <v>8</v>
      </c>
      <c r="F94" s="2">
        <v>16</v>
      </c>
      <c r="G94" s="2">
        <v>11</v>
      </c>
      <c r="H94" s="4">
        <v>0.35</v>
      </c>
      <c r="I94" s="4">
        <v>0.49</v>
      </c>
      <c r="J94" s="4">
        <v>0</v>
      </c>
      <c r="K94" s="4">
        <v>0.12</v>
      </c>
      <c r="L94" s="4">
        <v>0.04</v>
      </c>
      <c r="M94" s="4">
        <v>0</v>
      </c>
      <c r="N94" s="4">
        <v>0</v>
      </c>
      <c r="O94" s="4">
        <v>0</v>
      </c>
      <c r="P94" s="4">
        <v>0.09</v>
      </c>
      <c r="R94" s="4" cm="1">
        <f t="array" aca="1" ref="R94" ca="1">INDEX(INDIRECT(trust_cosdq_table),(ROW()-ROW(INDIRECT(trust_cosdq_cols))),MATCH(selected_cosdq_name_xc,INDIRECT(trust_cosdq_cols),0))</f>
        <v>0.09</v>
      </c>
      <c r="S94">
        <f ca="1">RANK(R94,R:R,0)+COUNTIF($R$2:R94,R94)-1</f>
        <v>36</v>
      </c>
      <c r="T94" cm="1">
        <f t="array" aca="1" ref="T94" ca="1">INDEX(INDIRECT(trust_cosdq_table),(ROW()-ROW(INDIRECT(trust_cosdq_cols))),MATCH(selected_cosdq_denom_xc,INDIRECT(trust_cosdq_cols),0))</f>
        <v>11</v>
      </c>
    </row>
    <row r="95" spans="1:20" x14ac:dyDescent="0.35">
      <c r="A95" t="s">
        <v>256</v>
      </c>
      <c r="B95" t="s">
        <v>257</v>
      </c>
      <c r="C95" t="s">
        <v>98</v>
      </c>
      <c r="D95" s="2">
        <v>48</v>
      </c>
      <c r="E95" s="2">
        <v>8</v>
      </c>
      <c r="F95" s="2">
        <v>10</v>
      </c>
      <c r="G95" s="2">
        <v>8</v>
      </c>
      <c r="H95" s="4">
        <v>0.28999999999999998</v>
      </c>
      <c r="I95" s="4">
        <v>0.21</v>
      </c>
      <c r="J95" s="4">
        <v>0</v>
      </c>
      <c r="K95" s="4">
        <v>0.02</v>
      </c>
      <c r="L95" s="4">
        <v>0</v>
      </c>
      <c r="M95" s="4">
        <v>0.02</v>
      </c>
      <c r="N95" s="4">
        <v>0</v>
      </c>
      <c r="O95" s="4">
        <v>0.2</v>
      </c>
      <c r="P95" s="4">
        <v>0</v>
      </c>
      <c r="R95" s="4" cm="1">
        <f t="array" aca="1" ref="R95" ca="1">INDEX(INDIRECT(trust_cosdq_table),(ROW()-ROW(INDIRECT(trust_cosdq_cols))),MATCH(selected_cosdq_name_xc,INDIRECT(trust_cosdq_cols),0))</f>
        <v>0</v>
      </c>
      <c r="S95">
        <f ca="1">RANK(R95,R:R,0)+COUNTIF($R$2:R95,R95)-1</f>
        <v>113</v>
      </c>
      <c r="T95" cm="1">
        <f t="array" aca="1" ref="T95" ca="1">INDEX(INDIRECT(trust_cosdq_table),(ROW()-ROW(INDIRECT(trust_cosdq_cols))),MATCH(selected_cosdq_denom_xc,INDIRECT(trust_cosdq_cols),0))</f>
        <v>8</v>
      </c>
    </row>
    <row r="96" spans="1:20" x14ac:dyDescent="0.35">
      <c r="A96" t="s">
        <v>258</v>
      </c>
      <c r="B96" t="s">
        <v>259</v>
      </c>
      <c r="C96" t="s">
        <v>145</v>
      </c>
      <c r="D96" s="2">
        <v>111</v>
      </c>
      <c r="E96" s="2">
        <v>6</v>
      </c>
      <c r="F96" s="2">
        <v>18</v>
      </c>
      <c r="G96" s="2">
        <v>6</v>
      </c>
      <c r="H96" s="4">
        <v>0.68</v>
      </c>
      <c r="I96" s="4">
        <v>0.68</v>
      </c>
      <c r="J96" s="4">
        <v>0.01</v>
      </c>
      <c r="K96" s="4">
        <v>0.05</v>
      </c>
      <c r="L96" s="4">
        <v>0.04</v>
      </c>
      <c r="M96" s="4">
        <v>0.02</v>
      </c>
      <c r="N96" s="4">
        <v>0</v>
      </c>
      <c r="O96" s="4">
        <v>0</v>
      </c>
      <c r="P96" s="4">
        <v>0</v>
      </c>
      <c r="R96" s="4" cm="1">
        <f t="array" aca="1" ref="R96" ca="1">INDEX(INDIRECT(trust_cosdq_table),(ROW()-ROW(INDIRECT(trust_cosdq_cols))),MATCH(selected_cosdq_name_xc,INDIRECT(trust_cosdq_cols),0))</f>
        <v>0</v>
      </c>
      <c r="S96">
        <f ca="1">RANK(R96,R:R,0)+COUNTIF($R$2:R96,R96)-1</f>
        <v>114</v>
      </c>
      <c r="T96" cm="1">
        <f t="array" aca="1" ref="T96" ca="1">INDEX(INDIRECT(trust_cosdq_table),(ROW()-ROW(INDIRECT(trust_cosdq_cols))),MATCH(selected_cosdq_denom_xc,INDIRECT(trust_cosdq_cols),0))</f>
        <v>6</v>
      </c>
    </row>
    <row r="97" spans="1:20" x14ac:dyDescent="0.35">
      <c r="A97" t="s">
        <v>260</v>
      </c>
      <c r="B97" t="s">
        <v>261</v>
      </c>
      <c r="C97" t="s">
        <v>464</v>
      </c>
      <c r="D97" s="2">
        <v>151</v>
      </c>
      <c r="E97" s="2">
        <v>37</v>
      </c>
      <c r="F97" s="2">
        <v>30</v>
      </c>
      <c r="G97" s="2">
        <v>48</v>
      </c>
      <c r="H97" s="4">
        <v>0.23</v>
      </c>
      <c r="I97" s="4">
        <v>0.5</v>
      </c>
      <c r="J97" s="4">
        <v>0.02</v>
      </c>
      <c r="K97" s="4">
        <v>0.11</v>
      </c>
      <c r="L97" s="4">
        <v>0.04</v>
      </c>
      <c r="M97" s="4">
        <v>0.01</v>
      </c>
      <c r="N97" s="4">
        <v>0.19</v>
      </c>
      <c r="O97" s="4">
        <v>0.1</v>
      </c>
      <c r="P97" s="4">
        <v>0.19</v>
      </c>
      <c r="R97" s="4" cm="1">
        <f t="array" aca="1" ref="R97" ca="1">INDEX(INDIRECT(trust_cosdq_table),(ROW()-ROW(INDIRECT(trust_cosdq_cols))),MATCH(selected_cosdq_name_xc,INDIRECT(trust_cosdq_cols),0))</f>
        <v>0.19</v>
      </c>
      <c r="S97">
        <f ca="1">RANK(R97,R:R,0)+COUNTIF($R$2:R97,R97)-1</f>
        <v>23</v>
      </c>
      <c r="T97" cm="1">
        <f t="array" aca="1" ref="T97" ca="1">INDEX(INDIRECT(trust_cosdq_table),(ROW()-ROW(INDIRECT(trust_cosdq_cols))),MATCH(selected_cosdq_denom_xc,INDIRECT(trust_cosdq_cols),0))</f>
        <v>48</v>
      </c>
    </row>
    <row r="98" spans="1:20" x14ac:dyDescent="0.35">
      <c r="A98" t="s">
        <v>262</v>
      </c>
      <c r="B98" t="s">
        <v>263</v>
      </c>
      <c r="C98" t="s">
        <v>124</v>
      </c>
      <c r="D98" s="2">
        <v>131</v>
      </c>
      <c r="E98" s="2">
        <v>28</v>
      </c>
      <c r="F98" s="2">
        <v>18</v>
      </c>
      <c r="G98" s="2">
        <v>44</v>
      </c>
      <c r="H98" s="4">
        <v>0.27</v>
      </c>
      <c r="I98" s="4">
        <v>0.57999999999999996</v>
      </c>
      <c r="J98" s="4">
        <v>0.01</v>
      </c>
      <c r="K98" s="4">
        <v>0.17</v>
      </c>
      <c r="L98" s="4">
        <v>0.05</v>
      </c>
      <c r="M98" s="4">
        <v>0.01</v>
      </c>
      <c r="N98" s="4">
        <v>0.11</v>
      </c>
      <c r="O98" s="4">
        <v>0.06</v>
      </c>
      <c r="P98" s="4">
        <v>0.02</v>
      </c>
      <c r="R98" s="4" cm="1">
        <f t="array" aca="1" ref="R98" ca="1">INDEX(INDIRECT(trust_cosdq_table),(ROW()-ROW(INDIRECT(trust_cosdq_cols))),MATCH(selected_cosdq_name_xc,INDIRECT(trust_cosdq_cols),0))</f>
        <v>0.02</v>
      </c>
      <c r="S98">
        <f ca="1">RANK(R98,R:R,0)+COUNTIF($R$2:R98,R98)-1</f>
        <v>50</v>
      </c>
      <c r="T98" cm="1">
        <f t="array" aca="1" ref="T98" ca="1">INDEX(INDIRECT(trust_cosdq_table),(ROW()-ROW(INDIRECT(trust_cosdq_cols))),MATCH(selected_cosdq_denom_xc,INDIRECT(trust_cosdq_cols),0))</f>
        <v>44</v>
      </c>
    </row>
    <row r="99" spans="1:20" x14ac:dyDescent="0.35">
      <c r="A99" t="s">
        <v>264</v>
      </c>
      <c r="B99" t="s">
        <v>265</v>
      </c>
      <c r="C99" t="s">
        <v>124</v>
      </c>
      <c r="D99" s="2">
        <v>101</v>
      </c>
      <c r="E99" s="2">
        <v>20</v>
      </c>
      <c r="F99" s="2">
        <v>12</v>
      </c>
      <c r="G99" s="2">
        <v>36</v>
      </c>
      <c r="H99" s="4">
        <v>0.79</v>
      </c>
      <c r="I99" s="4">
        <v>0.54</v>
      </c>
      <c r="J99" s="4">
        <v>0.02</v>
      </c>
      <c r="K99" s="4">
        <v>0.11</v>
      </c>
      <c r="L99" s="4">
        <v>0.01</v>
      </c>
      <c r="M99" s="4">
        <v>0.02</v>
      </c>
      <c r="N99" s="4">
        <v>0.9</v>
      </c>
      <c r="O99" s="4">
        <v>0.92</v>
      </c>
      <c r="P99" s="4">
        <v>0.81</v>
      </c>
      <c r="R99" s="4" cm="1">
        <f t="array" aca="1" ref="R99" ca="1">INDEX(INDIRECT(trust_cosdq_table),(ROW()-ROW(INDIRECT(trust_cosdq_cols))),MATCH(selected_cosdq_name_xc,INDIRECT(trust_cosdq_cols),0))</f>
        <v>0.81</v>
      </c>
      <c r="S99">
        <f ca="1">RANK(R99,R:R,0)+COUNTIF($R$2:R99,R99)-1</f>
        <v>1</v>
      </c>
      <c r="T99" cm="1">
        <f t="array" aca="1" ref="T99" ca="1">INDEX(INDIRECT(trust_cosdq_table),(ROW()-ROW(INDIRECT(trust_cosdq_cols))),MATCH(selected_cosdq_denom_xc,INDIRECT(trust_cosdq_cols),0))</f>
        <v>36</v>
      </c>
    </row>
    <row r="100" spans="1:20" x14ac:dyDescent="0.35">
      <c r="A100" t="s">
        <v>479</v>
      </c>
      <c r="B100" t="s">
        <v>266</v>
      </c>
      <c r="C100" t="s">
        <v>145</v>
      </c>
      <c r="D100" s="2">
        <v>58</v>
      </c>
      <c r="E100" s="2">
        <v>6</v>
      </c>
      <c r="F100" s="2">
        <v>8</v>
      </c>
      <c r="G100" s="2">
        <v>16</v>
      </c>
      <c r="H100" s="4">
        <v>0.48</v>
      </c>
      <c r="I100" s="4">
        <v>0.33</v>
      </c>
      <c r="J100" s="4">
        <v>0</v>
      </c>
      <c r="K100" s="4">
        <v>0</v>
      </c>
      <c r="L100" s="4">
        <v>0</v>
      </c>
      <c r="M100" s="4">
        <v>0</v>
      </c>
      <c r="N100" s="4">
        <v>0</v>
      </c>
      <c r="O100" s="4">
        <v>0</v>
      </c>
      <c r="P100" s="4">
        <v>0</v>
      </c>
      <c r="R100" s="4" cm="1">
        <f t="array" aca="1" ref="R100" ca="1">INDEX(INDIRECT(trust_cosdq_table),(ROW()-ROW(INDIRECT(trust_cosdq_cols))),MATCH(selected_cosdq_name_xc,INDIRECT(trust_cosdq_cols),0))</f>
        <v>0</v>
      </c>
      <c r="S100">
        <f ca="1">RANK(R100,R:R,0)+COUNTIF($R$2:R100,R100)-1</f>
        <v>115</v>
      </c>
      <c r="T100" cm="1">
        <f t="array" aca="1" ref="T100" ca="1">INDEX(INDIRECT(trust_cosdq_table),(ROW()-ROW(INDIRECT(trust_cosdq_cols))),MATCH(selected_cosdq_denom_xc,INDIRECT(trust_cosdq_cols),0))</f>
        <v>16</v>
      </c>
    </row>
    <row r="101" spans="1:20" x14ac:dyDescent="0.35">
      <c r="A101" t="s">
        <v>267</v>
      </c>
      <c r="B101" t="s">
        <v>268</v>
      </c>
      <c r="C101" t="s">
        <v>462</v>
      </c>
      <c r="D101" s="2">
        <v>77</v>
      </c>
      <c r="E101" s="2">
        <v>3</v>
      </c>
      <c r="F101" s="2">
        <v>10</v>
      </c>
      <c r="G101" s="2">
        <v>22</v>
      </c>
      <c r="H101" s="4">
        <v>0.03</v>
      </c>
      <c r="I101" s="4">
        <v>0.38</v>
      </c>
      <c r="J101" s="4">
        <v>0</v>
      </c>
      <c r="K101" s="4">
        <v>0.03</v>
      </c>
      <c r="L101" s="4">
        <v>0</v>
      </c>
      <c r="M101" s="4">
        <v>0</v>
      </c>
      <c r="N101" s="4">
        <v>0.33</v>
      </c>
      <c r="O101" s="4">
        <v>0</v>
      </c>
      <c r="P101" s="4">
        <v>0.05</v>
      </c>
      <c r="R101" s="4" cm="1">
        <f t="array" aca="1" ref="R101" ca="1">INDEX(INDIRECT(trust_cosdq_table),(ROW()-ROW(INDIRECT(trust_cosdq_cols))),MATCH(selected_cosdq_name_xc,INDIRECT(trust_cosdq_cols),0))</f>
        <v>0.05</v>
      </c>
      <c r="S101">
        <f ca="1">RANK(R101,R:R,0)+COUNTIF($R$2:R101,R101)-1</f>
        <v>44</v>
      </c>
      <c r="T101" cm="1">
        <f t="array" aca="1" ref="T101" ca="1">INDEX(INDIRECT(trust_cosdq_table),(ROW()-ROW(INDIRECT(trust_cosdq_cols))),MATCH(selected_cosdq_denom_xc,INDIRECT(trust_cosdq_cols),0))</f>
        <v>22</v>
      </c>
    </row>
    <row r="102" spans="1:20" x14ac:dyDescent="0.35">
      <c r="A102" t="s">
        <v>270</v>
      </c>
      <c r="B102" t="s">
        <v>271</v>
      </c>
      <c r="C102" t="s">
        <v>108</v>
      </c>
      <c r="D102" s="2">
        <v>71</v>
      </c>
      <c r="E102" s="2">
        <v>8</v>
      </c>
      <c r="F102" s="2">
        <v>14</v>
      </c>
      <c r="G102" s="2">
        <v>17</v>
      </c>
      <c r="H102" s="4">
        <v>0.3</v>
      </c>
      <c r="I102" s="4">
        <v>0.24</v>
      </c>
      <c r="J102" s="4">
        <v>0.03</v>
      </c>
      <c r="K102" s="4">
        <v>0.01</v>
      </c>
      <c r="L102" s="4">
        <v>0</v>
      </c>
      <c r="M102" s="4">
        <v>0.04</v>
      </c>
      <c r="N102" s="4">
        <v>0</v>
      </c>
      <c r="O102" s="4">
        <v>0</v>
      </c>
      <c r="P102" s="4">
        <v>0</v>
      </c>
      <c r="R102" s="4" cm="1">
        <f t="array" aca="1" ref="R102" ca="1">INDEX(INDIRECT(trust_cosdq_table),(ROW()-ROW(INDIRECT(trust_cosdq_cols))),MATCH(selected_cosdq_name_xc,INDIRECT(trust_cosdq_cols),0))</f>
        <v>0</v>
      </c>
      <c r="S102">
        <f ca="1">RANK(R102,R:R,0)+COUNTIF($R$2:R102,R102)-1</f>
        <v>116</v>
      </c>
      <c r="T102" cm="1">
        <f t="array" aca="1" ref="T102" ca="1">INDEX(INDIRECT(trust_cosdq_table),(ROW()-ROW(INDIRECT(trust_cosdq_cols))),MATCH(selected_cosdq_denom_xc,INDIRECT(trust_cosdq_cols),0))</f>
        <v>17</v>
      </c>
    </row>
    <row r="103" spans="1:20" x14ac:dyDescent="0.35">
      <c r="A103" t="s">
        <v>272</v>
      </c>
      <c r="B103" t="s">
        <v>273</v>
      </c>
      <c r="C103" t="s">
        <v>97</v>
      </c>
      <c r="D103" s="2">
        <v>95</v>
      </c>
      <c r="E103" s="2">
        <v>18</v>
      </c>
      <c r="F103" s="2">
        <v>12</v>
      </c>
      <c r="G103" s="2">
        <v>36</v>
      </c>
      <c r="H103" s="4">
        <v>0.35</v>
      </c>
      <c r="I103" s="4">
        <v>0.46</v>
      </c>
      <c r="J103" s="4">
        <v>0</v>
      </c>
      <c r="K103" s="4">
        <v>0.02</v>
      </c>
      <c r="L103" s="4">
        <v>0.05</v>
      </c>
      <c r="M103" s="4">
        <v>0</v>
      </c>
      <c r="N103" s="4">
        <v>0.17</v>
      </c>
      <c r="O103" s="4">
        <v>0</v>
      </c>
      <c r="P103" s="4">
        <v>0</v>
      </c>
      <c r="R103" s="4" cm="1">
        <f t="array" aca="1" ref="R103" ca="1">INDEX(INDIRECT(trust_cosdq_table),(ROW()-ROW(INDIRECT(trust_cosdq_cols))),MATCH(selected_cosdq_name_xc,INDIRECT(trust_cosdq_cols),0))</f>
        <v>0</v>
      </c>
      <c r="S103">
        <f ca="1">RANK(R103,R:R,0)+COUNTIF($R$2:R103,R103)-1</f>
        <v>117</v>
      </c>
      <c r="T103" cm="1">
        <f t="array" aca="1" ref="T103" ca="1">INDEX(INDIRECT(trust_cosdq_table),(ROW()-ROW(INDIRECT(trust_cosdq_cols))),MATCH(selected_cosdq_denom_xc,INDIRECT(trust_cosdq_cols),0))</f>
        <v>36</v>
      </c>
    </row>
    <row r="104" spans="1:20" x14ac:dyDescent="0.35">
      <c r="A104" t="s">
        <v>274</v>
      </c>
      <c r="B104" t="s">
        <v>275</v>
      </c>
      <c r="C104" t="s">
        <v>108</v>
      </c>
      <c r="D104" s="2">
        <v>17</v>
      </c>
      <c r="E104" s="2">
        <v>1</v>
      </c>
      <c r="F104" s="2">
        <v>3</v>
      </c>
      <c r="G104" s="2">
        <v>3</v>
      </c>
      <c r="H104" s="4">
        <v>0.06</v>
      </c>
      <c r="I104" s="4">
        <v>0.35</v>
      </c>
      <c r="J104" s="4">
        <v>0</v>
      </c>
      <c r="K104" s="4">
        <v>0.12</v>
      </c>
      <c r="L104" s="4">
        <v>0</v>
      </c>
      <c r="M104" s="4">
        <v>0.12</v>
      </c>
      <c r="N104" s="4">
        <v>0</v>
      </c>
      <c r="O104" s="4">
        <v>0</v>
      </c>
      <c r="P104" s="4">
        <v>0</v>
      </c>
      <c r="R104" s="4" cm="1">
        <f t="array" aca="1" ref="R104" ca="1">INDEX(INDIRECT(trust_cosdq_table),(ROW()-ROW(INDIRECT(trust_cosdq_cols))),MATCH(selected_cosdq_name_xc,INDIRECT(trust_cosdq_cols),0))</f>
        <v>0</v>
      </c>
      <c r="S104">
        <f ca="1">RANK(R104,R:R,0)+COUNTIF($R$2:R104,R104)-1</f>
        <v>118</v>
      </c>
      <c r="T104" cm="1">
        <f t="array" aca="1" ref="T104" ca="1">INDEX(INDIRECT(trust_cosdq_table),(ROW()-ROW(INDIRECT(trust_cosdq_cols))),MATCH(selected_cosdq_denom_xc,INDIRECT(trust_cosdq_cols),0))</f>
        <v>3</v>
      </c>
    </row>
    <row r="105" spans="1:20" x14ac:dyDescent="0.35">
      <c r="A105" t="s">
        <v>474</v>
      </c>
      <c r="B105" t="s">
        <v>507</v>
      </c>
      <c r="C105" t="s">
        <v>94</v>
      </c>
      <c r="D105" s="2">
        <v>5</v>
      </c>
      <c r="E105" s="2"/>
      <c r="F105" s="2"/>
      <c r="G105" s="2">
        <v>1</v>
      </c>
      <c r="H105" s="4">
        <v>0</v>
      </c>
      <c r="I105" s="4">
        <v>0.2</v>
      </c>
      <c r="J105" s="4">
        <v>0</v>
      </c>
      <c r="K105" s="4">
        <v>0</v>
      </c>
      <c r="L105" s="4">
        <v>0</v>
      </c>
      <c r="M105" s="4">
        <v>0</v>
      </c>
      <c r="N105" s="4">
        <v>0</v>
      </c>
      <c r="O105" s="4">
        <v>0</v>
      </c>
      <c r="P105" s="4">
        <v>0</v>
      </c>
      <c r="R105" s="4" cm="1">
        <f t="array" aca="1" ref="R105" ca="1">INDEX(INDIRECT(trust_cosdq_table),(ROW()-ROW(INDIRECT(trust_cosdq_cols))),MATCH(selected_cosdq_name_xc,INDIRECT(trust_cosdq_cols),0))</f>
        <v>0</v>
      </c>
      <c r="S105">
        <f ca="1">RANK(R105,R:R,0)+COUNTIF($R$2:R105,R105)-1</f>
        <v>119</v>
      </c>
      <c r="T105" cm="1">
        <f t="array" aca="1" ref="T105" ca="1">INDEX(INDIRECT(trust_cosdq_table),(ROW()-ROW(INDIRECT(trust_cosdq_cols))),MATCH(selected_cosdq_denom_xc,INDIRECT(trust_cosdq_cols),0))</f>
        <v>1</v>
      </c>
    </row>
    <row r="106" spans="1:20" x14ac:dyDescent="0.35">
      <c r="A106" t="s">
        <v>287</v>
      </c>
      <c r="B106" t="s">
        <v>288</v>
      </c>
      <c r="C106" t="s">
        <v>127</v>
      </c>
      <c r="D106" s="2">
        <v>79</v>
      </c>
      <c r="E106" s="2">
        <v>11</v>
      </c>
      <c r="F106" s="2">
        <v>10</v>
      </c>
      <c r="G106" s="2">
        <v>28</v>
      </c>
      <c r="H106" s="4">
        <v>0.44</v>
      </c>
      <c r="I106" s="4">
        <v>0.54</v>
      </c>
      <c r="J106" s="4">
        <v>0.05</v>
      </c>
      <c r="K106" s="4">
        <v>0.18</v>
      </c>
      <c r="L106" s="4">
        <v>0.09</v>
      </c>
      <c r="M106" s="4">
        <v>0.1</v>
      </c>
      <c r="N106" s="4">
        <v>0</v>
      </c>
      <c r="O106" s="4">
        <v>0.1</v>
      </c>
      <c r="P106" s="4">
        <v>7.0000000000000007E-2</v>
      </c>
      <c r="R106" s="4" cm="1">
        <f t="array" aca="1" ref="R106" ca="1">INDEX(INDIRECT(trust_cosdq_table),(ROW()-ROW(INDIRECT(trust_cosdq_cols))),MATCH(selected_cosdq_name_xc,INDIRECT(trust_cosdq_cols),0))</f>
        <v>7.0000000000000007E-2</v>
      </c>
      <c r="S106">
        <f ca="1">RANK(R106,R:R,0)+COUNTIF($R$2:R106,R106)-1</f>
        <v>40</v>
      </c>
      <c r="T106" cm="1">
        <f t="array" aca="1" ref="T106" ca="1">INDEX(INDIRECT(trust_cosdq_table),(ROW()-ROW(INDIRECT(trust_cosdq_cols))),MATCH(selected_cosdq_denom_xc,INDIRECT(trust_cosdq_cols),0))</f>
        <v>28</v>
      </c>
    </row>
    <row r="107" spans="1:20" x14ac:dyDescent="0.35">
      <c r="A107" t="s">
        <v>289</v>
      </c>
      <c r="B107" t="s">
        <v>290</v>
      </c>
      <c r="C107" t="s">
        <v>98</v>
      </c>
      <c r="D107" s="2">
        <v>173</v>
      </c>
      <c r="E107" s="2">
        <v>45</v>
      </c>
      <c r="F107" s="2">
        <v>20</v>
      </c>
      <c r="G107" s="2">
        <v>56</v>
      </c>
      <c r="H107" s="4">
        <v>0.38</v>
      </c>
      <c r="I107" s="4">
        <v>0.56999999999999995</v>
      </c>
      <c r="J107" s="4">
        <v>0</v>
      </c>
      <c r="K107" s="4">
        <v>0.04</v>
      </c>
      <c r="L107" s="4">
        <v>0.03</v>
      </c>
      <c r="M107" s="4">
        <v>0.01</v>
      </c>
      <c r="N107" s="4">
        <v>0.89</v>
      </c>
      <c r="O107" s="4">
        <v>0</v>
      </c>
      <c r="P107" s="4">
        <v>0</v>
      </c>
      <c r="R107" s="4" cm="1">
        <f t="array" aca="1" ref="R107" ca="1">INDEX(INDIRECT(trust_cosdq_table),(ROW()-ROW(INDIRECT(trust_cosdq_cols))),MATCH(selected_cosdq_name_xc,INDIRECT(trust_cosdq_cols),0))</f>
        <v>0</v>
      </c>
      <c r="S107">
        <f ca="1">RANK(R107,R:R,0)+COUNTIF($R$2:R107,R107)-1</f>
        <v>120</v>
      </c>
      <c r="T107" cm="1">
        <f t="array" aca="1" ref="T107" ca="1">INDEX(INDIRECT(trust_cosdq_table),(ROW()-ROW(INDIRECT(trust_cosdq_cols))),MATCH(selected_cosdq_denom_xc,INDIRECT(trust_cosdq_cols),0))</f>
        <v>56</v>
      </c>
    </row>
    <row r="108" spans="1:20" x14ac:dyDescent="0.35">
      <c r="A108" t="s">
        <v>291</v>
      </c>
      <c r="B108" t="s">
        <v>292</v>
      </c>
      <c r="C108" t="s">
        <v>119</v>
      </c>
      <c r="D108" s="2">
        <v>119</v>
      </c>
      <c r="E108" s="2">
        <v>1</v>
      </c>
      <c r="F108" s="2">
        <v>23</v>
      </c>
      <c r="G108" s="2">
        <v>8</v>
      </c>
      <c r="H108" s="4">
        <v>0.18</v>
      </c>
      <c r="I108" s="4">
        <v>0.22</v>
      </c>
      <c r="J108" s="4">
        <v>0</v>
      </c>
      <c r="K108" s="4">
        <v>0.04</v>
      </c>
      <c r="L108" s="4">
        <v>0</v>
      </c>
      <c r="M108" s="4">
        <v>0</v>
      </c>
      <c r="N108" s="4">
        <v>0</v>
      </c>
      <c r="O108" s="4">
        <v>0</v>
      </c>
      <c r="P108" s="4">
        <v>0.25</v>
      </c>
      <c r="R108" s="4" cm="1">
        <f t="array" aca="1" ref="R108" ca="1">INDEX(INDIRECT(trust_cosdq_table),(ROW()-ROW(INDIRECT(trust_cosdq_cols))),MATCH(selected_cosdq_name_xc,INDIRECT(trust_cosdq_cols),0))</f>
        <v>0.25</v>
      </c>
      <c r="S108">
        <f ca="1">RANK(R108,R:R,0)+COUNTIF($R$2:R108,R108)-1</f>
        <v>13</v>
      </c>
      <c r="T108" cm="1">
        <f t="array" aca="1" ref="T108" ca="1">INDEX(INDIRECT(trust_cosdq_table),(ROW()-ROW(INDIRECT(trust_cosdq_cols))),MATCH(selected_cosdq_denom_xc,INDIRECT(trust_cosdq_cols),0))</f>
        <v>8</v>
      </c>
    </row>
    <row r="109" spans="1:20" x14ac:dyDescent="0.35">
      <c r="A109" t="s">
        <v>293</v>
      </c>
      <c r="B109" t="s">
        <v>294</v>
      </c>
      <c r="C109" t="s">
        <v>142</v>
      </c>
      <c r="D109" s="2">
        <v>126</v>
      </c>
      <c r="E109" s="2">
        <v>12</v>
      </c>
      <c r="F109" s="2">
        <v>18</v>
      </c>
      <c r="G109" s="2">
        <v>44</v>
      </c>
      <c r="H109" s="4">
        <v>0.7</v>
      </c>
      <c r="I109" s="4">
        <v>0.68</v>
      </c>
      <c r="J109" s="4">
        <v>0</v>
      </c>
      <c r="K109" s="4">
        <v>0.09</v>
      </c>
      <c r="L109" s="4">
        <v>0.05</v>
      </c>
      <c r="M109" s="4">
        <v>0.01</v>
      </c>
      <c r="N109" s="4">
        <v>0.25</v>
      </c>
      <c r="O109" s="4">
        <v>0</v>
      </c>
      <c r="P109" s="4">
        <v>0</v>
      </c>
      <c r="R109" s="4" cm="1">
        <f t="array" aca="1" ref="R109" ca="1">INDEX(INDIRECT(trust_cosdq_table),(ROW()-ROW(INDIRECT(trust_cosdq_cols))),MATCH(selected_cosdq_name_xc,INDIRECT(trust_cosdq_cols),0))</f>
        <v>0</v>
      </c>
      <c r="S109">
        <f ca="1">RANK(R109,R:R,0)+COUNTIF($R$2:R109,R109)-1</f>
        <v>121</v>
      </c>
      <c r="T109" cm="1">
        <f t="array" aca="1" ref="T109" ca="1">INDEX(INDIRECT(trust_cosdq_table),(ROW()-ROW(INDIRECT(trust_cosdq_cols))),MATCH(selected_cosdq_denom_xc,INDIRECT(trust_cosdq_cols),0))</f>
        <v>44</v>
      </c>
    </row>
    <row r="110" spans="1:20" x14ac:dyDescent="0.35">
      <c r="A110" t="s">
        <v>295</v>
      </c>
      <c r="B110" t="s">
        <v>296</v>
      </c>
      <c r="C110" t="s">
        <v>145</v>
      </c>
      <c r="D110" s="2">
        <v>274</v>
      </c>
      <c r="E110" s="2">
        <v>29</v>
      </c>
      <c r="F110" s="2">
        <v>27</v>
      </c>
      <c r="G110" s="2">
        <v>101</v>
      </c>
      <c r="H110" s="4">
        <v>0.25</v>
      </c>
      <c r="I110" s="4">
        <v>0.46</v>
      </c>
      <c r="J110" s="4">
        <v>0.02</v>
      </c>
      <c r="K110" s="4">
        <v>0.06</v>
      </c>
      <c r="L110" s="4">
        <v>0.03</v>
      </c>
      <c r="M110" s="4">
        <v>0.02</v>
      </c>
      <c r="N110" s="4">
        <v>0.17</v>
      </c>
      <c r="O110" s="4">
        <v>0</v>
      </c>
      <c r="P110" s="4">
        <v>0.02</v>
      </c>
      <c r="R110" s="4" cm="1">
        <f t="array" aca="1" ref="R110" ca="1">INDEX(INDIRECT(trust_cosdq_table),(ROW()-ROW(INDIRECT(trust_cosdq_cols))),MATCH(selected_cosdq_name_xc,INDIRECT(trust_cosdq_cols),0))</f>
        <v>0.02</v>
      </c>
      <c r="S110">
        <f ca="1">RANK(R110,R:R,0)+COUNTIF($R$2:R110,R110)-1</f>
        <v>51</v>
      </c>
      <c r="T110" cm="1">
        <f t="array" aca="1" ref="T110" ca="1">INDEX(INDIRECT(trust_cosdq_table),(ROW()-ROW(INDIRECT(trust_cosdq_cols))),MATCH(selected_cosdq_denom_xc,INDIRECT(trust_cosdq_cols),0))</f>
        <v>101</v>
      </c>
    </row>
    <row r="111" spans="1:20" x14ac:dyDescent="0.35">
      <c r="A111" t="s">
        <v>297</v>
      </c>
      <c r="B111" t="s">
        <v>298</v>
      </c>
      <c r="C111" t="s">
        <v>464</v>
      </c>
      <c r="D111" s="2">
        <v>151</v>
      </c>
      <c r="E111" s="2">
        <v>31</v>
      </c>
      <c r="F111" s="2">
        <v>20</v>
      </c>
      <c r="G111" s="2">
        <v>30</v>
      </c>
      <c r="H111" s="4">
        <v>0.03</v>
      </c>
      <c r="I111" s="4">
        <v>0.51</v>
      </c>
      <c r="J111" s="4">
        <v>0.02</v>
      </c>
      <c r="K111" s="4">
        <v>0.13</v>
      </c>
      <c r="L111" s="4">
        <v>0.05</v>
      </c>
      <c r="M111" s="4">
        <v>0</v>
      </c>
      <c r="N111" s="4">
        <v>0.1</v>
      </c>
      <c r="O111" s="4">
        <v>0.1</v>
      </c>
      <c r="P111" s="4">
        <v>0.17</v>
      </c>
      <c r="R111" s="4" cm="1">
        <f t="array" aca="1" ref="R111" ca="1">INDEX(INDIRECT(trust_cosdq_table),(ROW()-ROW(INDIRECT(trust_cosdq_cols))),MATCH(selected_cosdq_name_xc,INDIRECT(trust_cosdq_cols),0))</f>
        <v>0.17</v>
      </c>
      <c r="S111">
        <f ca="1">RANK(R111,R:R,0)+COUNTIF($R$2:R111,R111)-1</f>
        <v>25</v>
      </c>
      <c r="T111" cm="1">
        <f t="array" aca="1" ref="T111" ca="1">INDEX(INDIRECT(trust_cosdq_table),(ROW()-ROW(INDIRECT(trust_cosdq_cols))),MATCH(selected_cosdq_denom_xc,INDIRECT(trust_cosdq_cols),0))</f>
        <v>30</v>
      </c>
    </row>
    <row r="112" spans="1:20" x14ac:dyDescent="0.35">
      <c r="A112" t="s">
        <v>299</v>
      </c>
      <c r="B112" t="s">
        <v>300</v>
      </c>
      <c r="C112" t="s">
        <v>145</v>
      </c>
      <c r="D112" s="2">
        <v>120</v>
      </c>
      <c r="E112" s="2">
        <v>17</v>
      </c>
      <c r="F112" s="2">
        <v>16</v>
      </c>
      <c r="G112" s="2">
        <v>45</v>
      </c>
      <c r="H112" s="4">
        <v>0.68</v>
      </c>
      <c r="I112" s="4">
        <v>0.55000000000000004</v>
      </c>
      <c r="J112" s="4">
        <v>0.01</v>
      </c>
      <c r="K112" s="4">
        <v>0.05</v>
      </c>
      <c r="L112" s="4">
        <v>0.01</v>
      </c>
      <c r="M112" s="4">
        <v>0</v>
      </c>
      <c r="N112" s="4">
        <v>0.65</v>
      </c>
      <c r="O112" s="4">
        <v>0.44</v>
      </c>
      <c r="P112" s="4">
        <v>0.27</v>
      </c>
      <c r="R112" s="4" cm="1">
        <f t="array" aca="1" ref="R112" ca="1">INDEX(INDIRECT(trust_cosdq_table),(ROW()-ROW(INDIRECT(trust_cosdq_cols))),MATCH(selected_cosdq_name_xc,INDIRECT(trust_cosdq_cols),0))</f>
        <v>0.27</v>
      </c>
      <c r="S112">
        <f ca="1">RANK(R112,R:R,0)+COUNTIF($R$2:R112,R112)-1</f>
        <v>12</v>
      </c>
      <c r="T112" cm="1">
        <f t="array" aca="1" ref="T112" ca="1">INDEX(INDIRECT(trust_cosdq_table),(ROW()-ROW(INDIRECT(trust_cosdq_cols))),MATCH(selected_cosdq_denom_xc,INDIRECT(trust_cosdq_cols),0))</f>
        <v>45</v>
      </c>
    </row>
    <row r="113" spans="1:20" x14ac:dyDescent="0.35">
      <c r="A113" t="s">
        <v>301</v>
      </c>
      <c r="B113" t="s">
        <v>302</v>
      </c>
      <c r="C113" t="s">
        <v>142</v>
      </c>
      <c r="D113" s="2">
        <v>176</v>
      </c>
      <c r="E113" s="2">
        <v>41</v>
      </c>
      <c r="F113" s="2">
        <v>26</v>
      </c>
      <c r="G113" s="2">
        <v>55</v>
      </c>
      <c r="H113" s="4">
        <v>0.24</v>
      </c>
      <c r="I113" s="4">
        <v>0.56999999999999995</v>
      </c>
      <c r="J113" s="4">
        <v>0.01</v>
      </c>
      <c r="K113" s="4">
        <v>0.09</v>
      </c>
      <c r="L113" s="4">
        <v>0.04</v>
      </c>
      <c r="M113" s="4">
        <v>0</v>
      </c>
      <c r="N113" s="4">
        <v>0.39</v>
      </c>
      <c r="O113" s="4">
        <v>0</v>
      </c>
      <c r="P113" s="4">
        <v>0</v>
      </c>
      <c r="R113" s="4" cm="1">
        <f t="array" aca="1" ref="R113" ca="1">INDEX(INDIRECT(trust_cosdq_table),(ROW()-ROW(INDIRECT(trust_cosdq_cols))),MATCH(selected_cosdq_name_xc,INDIRECT(trust_cosdq_cols),0))</f>
        <v>0</v>
      </c>
      <c r="S113">
        <f ca="1">RANK(R113,R:R,0)+COUNTIF($R$2:R113,R113)-1</f>
        <v>122</v>
      </c>
      <c r="T113" cm="1">
        <f t="array" aca="1" ref="T113" ca="1">INDEX(INDIRECT(trust_cosdq_table),(ROW()-ROW(INDIRECT(trust_cosdq_cols))),MATCH(selected_cosdq_denom_xc,INDIRECT(trust_cosdq_cols),0))</f>
        <v>55</v>
      </c>
    </row>
    <row r="114" spans="1:20" x14ac:dyDescent="0.35">
      <c r="A114" t="s">
        <v>495</v>
      </c>
      <c r="B114" t="s">
        <v>303</v>
      </c>
      <c r="C114" t="s">
        <v>98</v>
      </c>
      <c r="D114" s="2">
        <v>199</v>
      </c>
      <c r="E114" s="2">
        <v>33</v>
      </c>
      <c r="F114" s="2">
        <v>23</v>
      </c>
      <c r="G114" s="2">
        <v>70</v>
      </c>
      <c r="H114" s="4">
        <v>0.67</v>
      </c>
      <c r="I114" s="4">
        <v>0.62</v>
      </c>
      <c r="J114" s="4">
        <v>0</v>
      </c>
      <c r="K114" s="4">
        <v>0.04</v>
      </c>
      <c r="L114" s="4">
        <v>0</v>
      </c>
      <c r="M114" s="4">
        <v>0.02</v>
      </c>
      <c r="N114" s="4">
        <v>0.94</v>
      </c>
      <c r="O114" s="4">
        <v>0.83</v>
      </c>
      <c r="P114" s="4">
        <v>0.67</v>
      </c>
      <c r="R114" s="4" cm="1">
        <f t="array" aca="1" ref="R114" ca="1">INDEX(INDIRECT(trust_cosdq_table),(ROW()-ROW(INDIRECT(trust_cosdq_cols))),MATCH(selected_cosdq_name_xc,INDIRECT(trust_cosdq_cols),0))</f>
        <v>0.67</v>
      </c>
      <c r="S114">
        <f ca="1">RANK(R114,R:R,0)+COUNTIF($R$2:R114,R114)-1</f>
        <v>4</v>
      </c>
      <c r="T114" cm="1">
        <f t="array" aca="1" ref="T114" ca="1">INDEX(INDIRECT(trust_cosdq_table),(ROW()-ROW(INDIRECT(trust_cosdq_cols))),MATCH(selected_cosdq_denom_xc,INDIRECT(trust_cosdq_cols),0))</f>
        <v>70</v>
      </c>
    </row>
    <row r="115" spans="1:20" x14ac:dyDescent="0.35">
      <c r="A115" t="s">
        <v>500</v>
      </c>
      <c r="B115" t="s">
        <v>304</v>
      </c>
      <c r="C115" t="s">
        <v>98</v>
      </c>
      <c r="D115" s="2">
        <v>257</v>
      </c>
      <c r="E115" s="2">
        <v>54</v>
      </c>
      <c r="F115" s="2">
        <v>35</v>
      </c>
      <c r="G115" s="2">
        <v>80</v>
      </c>
      <c r="H115" s="4">
        <v>7.0000000000000007E-2</v>
      </c>
      <c r="I115" s="4">
        <v>0.48</v>
      </c>
      <c r="J115" s="4">
        <v>0.01</v>
      </c>
      <c r="K115" s="4">
        <v>0.11</v>
      </c>
      <c r="L115" s="4">
        <v>0.04</v>
      </c>
      <c r="M115" s="4">
        <v>0</v>
      </c>
      <c r="N115" s="4">
        <v>0.41</v>
      </c>
      <c r="O115" s="4">
        <v>0.03</v>
      </c>
      <c r="P115" s="4">
        <v>0.04</v>
      </c>
      <c r="R115" s="4" cm="1">
        <f t="array" aca="1" ref="R115" ca="1">INDEX(INDIRECT(trust_cosdq_table),(ROW()-ROW(INDIRECT(trust_cosdq_cols))),MATCH(selected_cosdq_name_xc,INDIRECT(trust_cosdq_cols),0))</f>
        <v>0.04</v>
      </c>
      <c r="S115">
        <f ca="1">RANK(R115,R:R,0)+COUNTIF($R$2:R115,R115)-1</f>
        <v>45</v>
      </c>
      <c r="T115" cm="1">
        <f t="array" aca="1" ref="T115" ca="1">INDEX(INDIRECT(trust_cosdq_table),(ROW()-ROW(INDIRECT(trust_cosdq_cols))),MATCH(selected_cosdq_denom_xc,INDIRECT(trust_cosdq_cols),0))</f>
        <v>80</v>
      </c>
    </row>
    <row r="116" spans="1:20" x14ac:dyDescent="0.35">
      <c r="A116" t="s">
        <v>497</v>
      </c>
      <c r="B116" t="s">
        <v>305</v>
      </c>
      <c r="C116" t="s">
        <v>113</v>
      </c>
      <c r="D116" s="2">
        <v>114</v>
      </c>
      <c r="E116" s="2">
        <v>31</v>
      </c>
      <c r="F116" s="2">
        <v>19</v>
      </c>
      <c r="G116" s="2">
        <v>25</v>
      </c>
      <c r="H116" s="4">
        <v>0.72</v>
      </c>
      <c r="I116" s="4">
        <v>0.55000000000000004</v>
      </c>
      <c r="J116" s="4">
        <v>0</v>
      </c>
      <c r="K116" s="4">
        <v>0.03</v>
      </c>
      <c r="L116" s="4">
        <v>0.01</v>
      </c>
      <c r="M116" s="4">
        <v>0.04</v>
      </c>
      <c r="N116" s="4">
        <v>0.28999999999999998</v>
      </c>
      <c r="O116" s="4">
        <v>0.11</v>
      </c>
      <c r="P116" s="4">
        <v>0.24</v>
      </c>
      <c r="R116" s="4" cm="1">
        <f t="array" aca="1" ref="R116" ca="1">INDEX(INDIRECT(trust_cosdq_table),(ROW()-ROW(INDIRECT(trust_cosdq_cols))),MATCH(selected_cosdq_name_xc,INDIRECT(trust_cosdq_cols),0))</f>
        <v>0.24</v>
      </c>
      <c r="S116">
        <f ca="1">RANK(R116,R:R,0)+COUNTIF($R$2:R116,R116)-1</f>
        <v>16</v>
      </c>
      <c r="T116" cm="1">
        <f t="array" aca="1" ref="T116" ca="1">INDEX(INDIRECT(trust_cosdq_table),(ROW()-ROW(INDIRECT(trust_cosdq_cols))),MATCH(selected_cosdq_denom_xc,INDIRECT(trust_cosdq_cols),0))</f>
        <v>25</v>
      </c>
    </row>
    <row r="117" spans="1:20" x14ac:dyDescent="0.35">
      <c r="A117" t="s">
        <v>480</v>
      </c>
      <c r="B117" t="s">
        <v>306</v>
      </c>
      <c r="C117" t="s">
        <v>145</v>
      </c>
      <c r="D117" s="2">
        <v>182</v>
      </c>
      <c r="E117" s="2">
        <v>43</v>
      </c>
      <c r="F117" s="2">
        <v>18</v>
      </c>
      <c r="G117" s="2">
        <v>30</v>
      </c>
      <c r="H117" s="4">
        <v>0.3</v>
      </c>
      <c r="I117" s="4">
        <v>0.38</v>
      </c>
      <c r="J117" s="4">
        <v>0</v>
      </c>
      <c r="K117" s="4">
        <v>0.04</v>
      </c>
      <c r="L117" s="4">
        <v>0.01</v>
      </c>
      <c r="M117" s="4">
        <v>0.01</v>
      </c>
      <c r="N117" s="4">
        <v>0.44</v>
      </c>
      <c r="O117" s="4">
        <v>0</v>
      </c>
      <c r="P117" s="4">
        <v>0.03</v>
      </c>
      <c r="R117" s="4" cm="1">
        <f t="array" aca="1" ref="R117" ca="1">INDEX(INDIRECT(trust_cosdq_table),(ROW()-ROW(INDIRECT(trust_cosdq_cols))),MATCH(selected_cosdq_name_xc,INDIRECT(trust_cosdq_cols),0))</f>
        <v>0.03</v>
      </c>
      <c r="S117">
        <f ca="1">RANK(R117,R:R,0)+COUNTIF($R$2:R117,R117)-1</f>
        <v>49</v>
      </c>
      <c r="T117" cm="1">
        <f t="array" aca="1" ref="T117" ca="1">INDEX(INDIRECT(trust_cosdq_table),(ROW()-ROW(INDIRECT(trust_cosdq_cols))),MATCH(selected_cosdq_denom_xc,INDIRECT(trust_cosdq_cols),0))</f>
        <v>30</v>
      </c>
    </row>
    <row r="118" spans="1:20" x14ac:dyDescent="0.35">
      <c r="A118" t="s">
        <v>482</v>
      </c>
      <c r="B118" t="s">
        <v>237</v>
      </c>
      <c r="C118" t="s">
        <v>127</v>
      </c>
      <c r="D118" s="2">
        <v>157</v>
      </c>
      <c r="E118" s="2">
        <v>38</v>
      </c>
      <c r="F118" s="2">
        <v>18</v>
      </c>
      <c r="G118" s="2">
        <v>57</v>
      </c>
      <c r="H118" s="4">
        <v>0.43</v>
      </c>
      <c r="I118" s="4">
        <v>0.44</v>
      </c>
      <c r="J118" s="4">
        <v>0.01</v>
      </c>
      <c r="K118" s="4">
        <v>0.1</v>
      </c>
      <c r="L118" s="4">
        <v>0.02</v>
      </c>
      <c r="M118" s="4">
        <v>0</v>
      </c>
      <c r="N118" s="4">
        <v>0.37</v>
      </c>
      <c r="O118" s="4">
        <v>0</v>
      </c>
      <c r="P118" s="4">
        <v>0</v>
      </c>
      <c r="R118" s="4" cm="1">
        <f t="array" aca="1" ref="R118" ca="1">INDEX(INDIRECT(trust_cosdq_table),(ROW()-ROW(INDIRECT(trust_cosdq_cols))),MATCH(selected_cosdq_name_xc,INDIRECT(trust_cosdq_cols),0))</f>
        <v>0</v>
      </c>
      <c r="S118">
        <f ca="1">RANK(R118,R:R,0)+COUNTIF($R$2:R118,R118)-1</f>
        <v>123</v>
      </c>
      <c r="T118" cm="1">
        <f t="array" aca="1" ref="T118" ca="1">INDEX(INDIRECT(trust_cosdq_table),(ROW()-ROW(INDIRECT(trust_cosdq_cols))),MATCH(selected_cosdq_denom_xc,INDIRECT(trust_cosdq_cols),0))</f>
        <v>57</v>
      </c>
    </row>
    <row r="119" spans="1:20" x14ac:dyDescent="0.35">
      <c r="A119" t="s">
        <v>307</v>
      </c>
      <c r="B119" t="s">
        <v>308</v>
      </c>
      <c r="C119" t="s">
        <v>97</v>
      </c>
      <c r="D119" s="2">
        <v>312</v>
      </c>
      <c r="E119" s="2">
        <v>66</v>
      </c>
      <c r="F119" s="2">
        <v>41</v>
      </c>
      <c r="G119" s="2">
        <v>78</v>
      </c>
      <c r="H119" s="4">
        <v>0.13</v>
      </c>
      <c r="I119" s="4">
        <v>0.36</v>
      </c>
      <c r="J119" s="4">
        <v>0</v>
      </c>
      <c r="K119" s="4">
        <v>0.02</v>
      </c>
      <c r="L119" s="4">
        <v>0.01</v>
      </c>
      <c r="M119" s="4">
        <v>0</v>
      </c>
      <c r="N119" s="4">
        <v>0.26</v>
      </c>
      <c r="O119" s="4">
        <v>0.02</v>
      </c>
      <c r="P119" s="4">
        <v>0.09</v>
      </c>
      <c r="R119" s="4" cm="1">
        <f t="array" aca="1" ref="R119" ca="1">INDEX(INDIRECT(trust_cosdq_table),(ROW()-ROW(INDIRECT(trust_cosdq_cols))),MATCH(selected_cosdq_name_xc,INDIRECT(trust_cosdq_cols),0))</f>
        <v>0.09</v>
      </c>
      <c r="S119">
        <f ca="1">RANK(R119,R:R,0)+COUNTIF($R$2:R119,R119)-1</f>
        <v>37</v>
      </c>
      <c r="T119" cm="1">
        <f t="array" aca="1" ref="T119" ca="1">INDEX(INDIRECT(trust_cosdq_table),(ROW()-ROW(INDIRECT(trust_cosdq_cols))),MATCH(selected_cosdq_denom_xc,INDIRECT(trust_cosdq_cols),0))</f>
        <v>78</v>
      </c>
    </row>
    <row r="120" spans="1:20" x14ac:dyDescent="0.35">
      <c r="A120" t="s">
        <v>309</v>
      </c>
      <c r="B120" t="s">
        <v>310</v>
      </c>
      <c r="C120" t="s">
        <v>145</v>
      </c>
      <c r="D120" s="2">
        <v>38</v>
      </c>
      <c r="E120" s="2">
        <v>11</v>
      </c>
      <c r="F120" s="2">
        <v>5</v>
      </c>
      <c r="G120" s="2">
        <v>7</v>
      </c>
      <c r="H120" s="4">
        <v>0.57999999999999996</v>
      </c>
      <c r="I120" s="4">
        <v>0.21</v>
      </c>
      <c r="J120" s="4">
        <v>0</v>
      </c>
      <c r="K120" s="4">
        <v>0</v>
      </c>
      <c r="L120" s="4">
        <v>0.05</v>
      </c>
      <c r="M120" s="4">
        <v>0</v>
      </c>
      <c r="N120" s="4">
        <v>0.09</v>
      </c>
      <c r="O120" s="4">
        <v>0</v>
      </c>
      <c r="P120" s="4">
        <v>0</v>
      </c>
      <c r="R120" s="4" cm="1">
        <f t="array" aca="1" ref="R120" ca="1">INDEX(INDIRECT(trust_cosdq_table),(ROW()-ROW(INDIRECT(trust_cosdq_cols))),MATCH(selected_cosdq_name_xc,INDIRECT(trust_cosdq_cols),0))</f>
        <v>0</v>
      </c>
      <c r="S120">
        <f ca="1">RANK(R120,R:R,0)+COUNTIF($R$2:R120,R120)-1</f>
        <v>124</v>
      </c>
      <c r="T120" cm="1">
        <f t="array" aca="1" ref="T120" ca="1">INDEX(INDIRECT(trust_cosdq_table),(ROW()-ROW(INDIRECT(trust_cosdq_cols))),MATCH(selected_cosdq_denom_xc,INDIRECT(trust_cosdq_cols),0))</f>
        <v>7</v>
      </c>
    </row>
    <row r="121" spans="1:20" x14ac:dyDescent="0.35">
      <c r="A121" t="s">
        <v>502</v>
      </c>
      <c r="B121" t="s">
        <v>311</v>
      </c>
      <c r="C121" t="s">
        <v>94</v>
      </c>
      <c r="D121" s="2">
        <v>43</v>
      </c>
      <c r="E121" s="2">
        <v>6</v>
      </c>
      <c r="F121" s="2">
        <v>6</v>
      </c>
      <c r="G121" s="2">
        <v>15</v>
      </c>
      <c r="H121" s="4">
        <v>0.7</v>
      </c>
      <c r="I121" s="4">
        <v>0.74</v>
      </c>
      <c r="J121" s="4">
        <v>0</v>
      </c>
      <c r="K121" s="4">
        <v>0.02</v>
      </c>
      <c r="L121" s="4">
        <v>0.05</v>
      </c>
      <c r="M121" s="4">
        <v>0.05</v>
      </c>
      <c r="N121" s="4">
        <v>0.67</v>
      </c>
      <c r="O121" s="4">
        <v>0.17</v>
      </c>
      <c r="P121" s="4">
        <v>0.2</v>
      </c>
      <c r="R121" s="4" cm="1">
        <f t="array" aca="1" ref="R121" ca="1">INDEX(INDIRECT(trust_cosdq_table),(ROW()-ROW(INDIRECT(trust_cosdq_cols))),MATCH(selected_cosdq_name_xc,INDIRECT(trust_cosdq_cols),0))</f>
        <v>0.2</v>
      </c>
      <c r="S121">
        <f ca="1">RANK(R121,R:R,0)+COUNTIF($R$2:R121,R121)-1</f>
        <v>21</v>
      </c>
      <c r="T121" cm="1">
        <f t="array" aca="1" ref="T121" ca="1">INDEX(INDIRECT(trust_cosdq_table),(ROW()-ROW(INDIRECT(trust_cosdq_cols))),MATCH(selected_cosdq_denom_xc,INDIRECT(trust_cosdq_cols),0))</f>
        <v>15</v>
      </c>
    </row>
    <row r="122" spans="1:20" x14ac:dyDescent="0.35">
      <c r="A122" t="s">
        <v>501</v>
      </c>
      <c r="B122" t="s">
        <v>312</v>
      </c>
      <c r="C122" t="s">
        <v>105</v>
      </c>
      <c r="D122" s="2">
        <v>101</v>
      </c>
      <c r="E122" s="2">
        <v>27</v>
      </c>
      <c r="F122" s="2">
        <v>12</v>
      </c>
      <c r="G122" s="2">
        <v>34</v>
      </c>
      <c r="H122" s="4">
        <v>0.77</v>
      </c>
      <c r="I122" s="4">
        <v>0.53</v>
      </c>
      <c r="J122" s="4">
        <v>0</v>
      </c>
      <c r="K122" s="4">
        <v>0.02</v>
      </c>
      <c r="L122" s="4">
        <v>0.03</v>
      </c>
      <c r="M122" s="4">
        <v>0.1</v>
      </c>
      <c r="N122" s="4">
        <v>0.41</v>
      </c>
      <c r="O122" s="4">
        <v>0.17</v>
      </c>
      <c r="P122" s="4">
        <v>0.44</v>
      </c>
      <c r="R122" s="4" cm="1">
        <f t="array" aca="1" ref="R122" ca="1">INDEX(INDIRECT(trust_cosdq_table),(ROW()-ROW(INDIRECT(trust_cosdq_cols))),MATCH(selected_cosdq_name_xc,INDIRECT(trust_cosdq_cols),0))</f>
        <v>0.44</v>
      </c>
      <c r="S122">
        <f ca="1">RANK(R122,R:R,0)+COUNTIF($R$2:R122,R122)-1</f>
        <v>6</v>
      </c>
      <c r="T122" cm="1">
        <f t="array" aca="1" ref="T122" ca="1">INDEX(INDIRECT(trust_cosdq_table),(ROW()-ROW(INDIRECT(trust_cosdq_cols))),MATCH(selected_cosdq_denom_xc,INDIRECT(trust_cosdq_cols),0))</f>
        <v>34</v>
      </c>
    </row>
    <row r="123" spans="1:20" x14ac:dyDescent="0.35">
      <c r="A123" t="s">
        <v>313</v>
      </c>
      <c r="B123" t="s">
        <v>314</v>
      </c>
      <c r="C123" t="s">
        <v>102</v>
      </c>
      <c r="D123" s="2">
        <v>76</v>
      </c>
      <c r="E123" s="2">
        <v>8</v>
      </c>
      <c r="F123" s="2">
        <v>14</v>
      </c>
      <c r="G123" s="2">
        <v>17</v>
      </c>
      <c r="H123" s="4">
        <v>0.66</v>
      </c>
      <c r="I123" s="4">
        <v>0.55000000000000004</v>
      </c>
      <c r="J123" s="4">
        <v>0.01</v>
      </c>
      <c r="K123" s="4">
        <v>0.03</v>
      </c>
      <c r="L123" s="4">
        <v>0.04</v>
      </c>
      <c r="M123" s="4">
        <v>0.03</v>
      </c>
      <c r="N123" s="4">
        <v>0.13</v>
      </c>
      <c r="O123" s="4">
        <v>0.14000000000000001</v>
      </c>
      <c r="P123" s="4">
        <v>0.18</v>
      </c>
      <c r="R123" s="4" cm="1">
        <f t="array" aca="1" ref="R123" ca="1">INDEX(INDIRECT(trust_cosdq_table),(ROW()-ROW(INDIRECT(trust_cosdq_cols))),MATCH(selected_cosdq_name_xc,INDIRECT(trust_cosdq_cols),0))</f>
        <v>0.18</v>
      </c>
      <c r="S123">
        <f ca="1">RANK(R123,R:R,0)+COUNTIF($R$2:R123,R123)-1</f>
        <v>24</v>
      </c>
      <c r="T123" cm="1">
        <f t="array" aca="1" ref="T123" ca="1">INDEX(INDIRECT(trust_cosdq_table),(ROW()-ROW(INDIRECT(trust_cosdq_cols))),MATCH(selected_cosdq_denom_xc,INDIRECT(trust_cosdq_cols),0))</f>
        <v>17</v>
      </c>
    </row>
    <row r="124" spans="1:20" x14ac:dyDescent="0.35">
      <c r="A124" t="s">
        <v>483</v>
      </c>
      <c r="B124" t="s">
        <v>286</v>
      </c>
      <c r="C124" t="s">
        <v>119</v>
      </c>
      <c r="D124" s="2">
        <v>14</v>
      </c>
      <c r="E124" s="2">
        <v>3</v>
      </c>
      <c r="F124" s="2">
        <v>1</v>
      </c>
      <c r="G124" s="2"/>
      <c r="H124" s="4">
        <v>0.21</v>
      </c>
      <c r="I124" s="4">
        <v>7.0000000000000007E-2</v>
      </c>
      <c r="J124" s="4">
        <v>0</v>
      </c>
      <c r="K124" s="4">
        <v>0</v>
      </c>
      <c r="L124" s="4">
        <v>0</v>
      </c>
      <c r="M124" s="4">
        <v>0</v>
      </c>
      <c r="N124" s="4">
        <v>0</v>
      </c>
      <c r="O124" s="4">
        <v>0</v>
      </c>
      <c r="P124" s="4">
        <v>0</v>
      </c>
      <c r="R124" s="4" cm="1">
        <f t="array" aca="1" ref="R124" ca="1">INDEX(INDIRECT(trust_cosdq_table),(ROW()-ROW(INDIRECT(trust_cosdq_cols))),MATCH(selected_cosdq_name_xc,INDIRECT(trust_cosdq_cols),0))</f>
        <v>0</v>
      </c>
      <c r="S124">
        <f ca="1">RANK(R124,R:R,0)+COUNTIF($R$2:R124,R124)-1</f>
        <v>125</v>
      </c>
      <c r="T124" cm="1">
        <f t="array" aca="1" ref="T124" ca="1">INDEX(INDIRECT(trust_cosdq_table),(ROW()-ROW(INDIRECT(trust_cosdq_cols))),MATCH(selected_cosdq_denom_xc,INDIRECT(trust_cosdq_cols),0))</f>
        <v>0</v>
      </c>
    </row>
    <row r="125" spans="1:20" x14ac:dyDescent="0.35">
      <c r="A125" t="s">
        <v>315</v>
      </c>
      <c r="B125" t="s">
        <v>316</v>
      </c>
      <c r="C125" t="s">
        <v>94</v>
      </c>
      <c r="D125" s="2">
        <v>71</v>
      </c>
      <c r="E125" s="2">
        <v>21</v>
      </c>
      <c r="F125" s="2">
        <v>9</v>
      </c>
      <c r="G125" s="2">
        <v>13</v>
      </c>
      <c r="H125" s="4">
        <v>0.69</v>
      </c>
      <c r="I125" s="4">
        <v>0.38</v>
      </c>
      <c r="J125" s="4">
        <v>0</v>
      </c>
      <c r="K125" s="4">
        <v>0.03</v>
      </c>
      <c r="L125" s="4">
        <v>0.03</v>
      </c>
      <c r="M125" s="4">
        <v>0.01</v>
      </c>
      <c r="N125" s="4">
        <v>0.48</v>
      </c>
      <c r="O125" s="4">
        <v>0</v>
      </c>
      <c r="P125" s="4">
        <v>0</v>
      </c>
      <c r="R125" s="4" cm="1">
        <f t="array" aca="1" ref="R125" ca="1">INDEX(INDIRECT(trust_cosdq_table),(ROW()-ROW(INDIRECT(trust_cosdq_cols))),MATCH(selected_cosdq_name_xc,INDIRECT(trust_cosdq_cols),0))</f>
        <v>0</v>
      </c>
      <c r="S125">
        <f ca="1">RANK(R125,R:R,0)+COUNTIF($R$2:R125,R125)-1</f>
        <v>126</v>
      </c>
      <c r="T125" cm="1">
        <f t="array" aca="1" ref="T125" ca="1">INDEX(INDIRECT(trust_cosdq_table),(ROW()-ROW(INDIRECT(trust_cosdq_cols))),MATCH(selected_cosdq_denom_xc,INDIRECT(trust_cosdq_cols),0))</f>
        <v>13</v>
      </c>
    </row>
    <row r="126" spans="1:20" x14ac:dyDescent="0.35">
      <c r="A126" t="s">
        <v>317</v>
      </c>
      <c r="B126" t="s">
        <v>318</v>
      </c>
      <c r="C126" t="s">
        <v>145</v>
      </c>
      <c r="D126" s="2">
        <v>156</v>
      </c>
      <c r="E126" s="2">
        <v>40</v>
      </c>
      <c r="F126" s="2">
        <v>16</v>
      </c>
      <c r="G126" s="2">
        <v>51</v>
      </c>
      <c r="H126" s="4">
        <v>0.5</v>
      </c>
      <c r="I126" s="4">
        <v>0.5</v>
      </c>
      <c r="J126" s="4">
        <v>0</v>
      </c>
      <c r="K126" s="4">
        <v>0.03</v>
      </c>
      <c r="L126" s="4">
        <v>0.03</v>
      </c>
      <c r="M126" s="4">
        <v>0</v>
      </c>
      <c r="N126" s="4">
        <v>0.38</v>
      </c>
      <c r="O126" s="4">
        <v>0.19</v>
      </c>
      <c r="P126" s="4">
        <v>0.1</v>
      </c>
      <c r="R126" s="4" cm="1">
        <f t="array" aca="1" ref="R126" ca="1">INDEX(INDIRECT(trust_cosdq_table),(ROW()-ROW(INDIRECT(trust_cosdq_cols))),MATCH(selected_cosdq_name_xc,INDIRECT(trust_cosdq_cols),0))</f>
        <v>0.1</v>
      </c>
      <c r="S126">
        <f ca="1">RANK(R126,R:R,0)+COUNTIF($R$2:R126,R126)-1</f>
        <v>35</v>
      </c>
      <c r="T126" cm="1">
        <f t="array" aca="1" ref="T126" ca="1">INDEX(INDIRECT(trust_cosdq_table),(ROW()-ROW(INDIRECT(trust_cosdq_cols))),MATCH(selected_cosdq_denom_xc,INDIRECT(trust_cosdq_cols),0))</f>
        <v>51</v>
      </c>
    </row>
    <row r="127" spans="1:20" x14ac:dyDescent="0.35">
      <c r="A127" t="s">
        <v>319</v>
      </c>
      <c r="B127" t="s">
        <v>320</v>
      </c>
      <c r="C127" t="s">
        <v>108</v>
      </c>
      <c r="D127" s="2">
        <v>69</v>
      </c>
      <c r="E127" s="2">
        <v>13</v>
      </c>
      <c r="F127" s="2">
        <v>15</v>
      </c>
      <c r="G127" s="2">
        <v>10</v>
      </c>
      <c r="H127" s="4">
        <v>0.46</v>
      </c>
      <c r="I127" s="4">
        <v>0.56999999999999995</v>
      </c>
      <c r="J127" s="4">
        <v>0</v>
      </c>
      <c r="K127" s="4">
        <v>0.01</v>
      </c>
      <c r="L127" s="4">
        <v>0.01</v>
      </c>
      <c r="M127" s="4">
        <v>0</v>
      </c>
      <c r="N127" s="4">
        <v>0.38</v>
      </c>
      <c r="O127" s="4">
        <v>0.33</v>
      </c>
      <c r="P127" s="4">
        <v>0.2</v>
      </c>
      <c r="R127" s="4" cm="1">
        <f t="array" aca="1" ref="R127" ca="1">INDEX(INDIRECT(trust_cosdq_table),(ROW()-ROW(INDIRECT(trust_cosdq_cols))),MATCH(selected_cosdq_name_xc,INDIRECT(trust_cosdq_cols),0))</f>
        <v>0.2</v>
      </c>
      <c r="S127">
        <f ca="1">RANK(R127,R:R,0)+COUNTIF($R$2:R127,R127)-1</f>
        <v>22</v>
      </c>
      <c r="T127" cm="1">
        <f t="array" aca="1" ref="T127" ca="1">INDEX(INDIRECT(trust_cosdq_table),(ROW()-ROW(INDIRECT(trust_cosdq_cols))),MATCH(selected_cosdq_denom_xc,INDIRECT(trust_cosdq_cols),0))</f>
        <v>10</v>
      </c>
    </row>
    <row r="128" spans="1:20" x14ac:dyDescent="0.35">
      <c r="A128" t="s">
        <v>321</v>
      </c>
      <c r="B128" t="s">
        <v>322</v>
      </c>
      <c r="C128" t="s">
        <v>145</v>
      </c>
      <c r="D128" s="2">
        <v>39</v>
      </c>
      <c r="E128" s="2">
        <v>1</v>
      </c>
      <c r="F128" s="2">
        <v>2</v>
      </c>
      <c r="G128" s="2">
        <v>6</v>
      </c>
      <c r="H128" s="4">
        <v>0</v>
      </c>
      <c r="I128" s="4">
        <v>0.21</v>
      </c>
      <c r="J128" s="4">
        <v>0</v>
      </c>
      <c r="K128" s="4">
        <v>0.08</v>
      </c>
      <c r="L128" s="4">
        <v>0</v>
      </c>
      <c r="M128" s="4">
        <v>0</v>
      </c>
      <c r="N128" s="4">
        <v>0</v>
      </c>
      <c r="O128" s="4">
        <v>0</v>
      </c>
      <c r="P128" s="4">
        <v>0</v>
      </c>
      <c r="R128" s="4" cm="1">
        <f t="array" aca="1" ref="R128" ca="1">INDEX(INDIRECT(trust_cosdq_table),(ROW()-ROW(INDIRECT(trust_cosdq_cols))),MATCH(selected_cosdq_name_xc,INDIRECT(trust_cosdq_cols),0))</f>
        <v>0</v>
      </c>
      <c r="S128">
        <f ca="1">RANK(R128,R:R,0)+COUNTIF($R$2:R128,R128)-1</f>
        <v>127</v>
      </c>
      <c r="T128" cm="1">
        <f t="array" aca="1" ref="T128" ca="1">INDEX(INDIRECT(trust_cosdq_table),(ROW()-ROW(INDIRECT(trust_cosdq_cols))),MATCH(selected_cosdq_denom_xc,INDIRECT(trust_cosdq_cols),0))</f>
        <v>6</v>
      </c>
    </row>
    <row r="129" spans="1:20" x14ac:dyDescent="0.35">
      <c r="A129" t="s">
        <v>470</v>
      </c>
      <c r="B129" t="s">
        <v>323</v>
      </c>
      <c r="C129" t="s">
        <v>469</v>
      </c>
      <c r="D129" s="2">
        <v>137</v>
      </c>
      <c r="E129" s="2">
        <v>26</v>
      </c>
      <c r="F129" s="2">
        <v>22</v>
      </c>
      <c r="G129" s="2">
        <v>48</v>
      </c>
      <c r="H129" s="4">
        <v>0.47</v>
      </c>
      <c r="I129" s="4">
        <v>0.63</v>
      </c>
      <c r="J129" s="4">
        <v>0.06</v>
      </c>
      <c r="K129" s="4">
        <v>0.13</v>
      </c>
      <c r="L129" s="4">
        <v>0.01</v>
      </c>
      <c r="M129" s="4">
        <v>0.28000000000000003</v>
      </c>
      <c r="N129" s="4">
        <v>0.77</v>
      </c>
      <c r="O129" s="4">
        <v>0</v>
      </c>
      <c r="P129" s="4">
        <v>0</v>
      </c>
      <c r="R129" s="4" cm="1">
        <f t="array" aca="1" ref="R129" ca="1">INDEX(INDIRECT(trust_cosdq_table),(ROW()-ROW(INDIRECT(trust_cosdq_cols))),MATCH(selected_cosdq_name_xc,INDIRECT(trust_cosdq_cols),0))</f>
        <v>0</v>
      </c>
      <c r="S129">
        <f ca="1">RANK(R129,R:R,0)+COUNTIF($R$2:R129,R129)-1</f>
        <v>128</v>
      </c>
      <c r="T129" cm="1">
        <f t="array" aca="1" ref="T129" ca="1">INDEX(INDIRECT(trust_cosdq_table),(ROW()-ROW(INDIRECT(trust_cosdq_cols))),MATCH(selected_cosdq_denom_xc,INDIRECT(trust_cosdq_cols),0))</f>
        <v>48</v>
      </c>
    </row>
  </sheetData>
  <autoFilter ref="A1:T129" xr:uid="{ED7B6634-D039-4900-BF52-06187CC5A13E}"/>
  <sortState xmlns:xlrd2="http://schemas.microsoft.com/office/spreadsheetml/2017/richdata2" ref="A2:P129">
    <sortCondition ref="A2:A129"/>
  </sortState>
  <conditionalFormatting sqref="R1">
    <cfRule type="top10" dxfId="11" priority="9" bottom="1" rank="1"/>
    <cfRule type="top10" dxfId="10" priority="10" rank="1"/>
  </conditionalFormatting>
  <conditionalFormatting sqref="R2:R129">
    <cfRule type="top10" dxfId="9" priority="63" bottom="1" rank="1"/>
    <cfRule type="top10" dxfId="8" priority="64" rank="1"/>
  </conditionalFormatting>
  <conditionalFormatting sqref="S1">
    <cfRule type="top10" dxfId="7" priority="7" rank="1"/>
    <cfRule type="top10" dxfId="6" priority="8" bottom="1" rank="1"/>
  </conditionalFormatting>
  <conditionalFormatting sqref="S2:S129">
    <cfRule type="top10" dxfId="5" priority="67" bottom="1" rank="1"/>
    <cfRule type="top10" dxfId="4" priority="68" rank="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9D07-DD13-4DEF-B77A-9C0BC2EB803D}">
  <sheetPr>
    <tabColor theme="9" tint="0.79998168889431442"/>
  </sheetPr>
  <dimension ref="A1:Q22"/>
  <sheetViews>
    <sheetView workbookViewId="0">
      <pane xSplit="1" ySplit="1" topLeftCell="B2" activePane="bottomRight" state="frozen"/>
      <selection pane="topRight"/>
      <selection pane="bottomLeft"/>
      <selection pane="bottomRight"/>
    </sheetView>
  </sheetViews>
  <sheetFormatPr defaultRowHeight="14.5" x14ac:dyDescent="0.35"/>
  <cols>
    <col min="1" max="1" width="43.453125" bestFit="1" customWidth="1"/>
    <col min="2" max="2" width="6" bestFit="1" customWidth="1"/>
    <col min="3" max="3" width="10.54296875" bestFit="1" customWidth="1"/>
    <col min="4" max="4" width="9.26953125" bestFit="1" customWidth="1"/>
    <col min="5" max="5" width="11.81640625" bestFit="1" customWidth="1"/>
    <col min="6" max="6" width="8.1796875" bestFit="1" customWidth="1"/>
    <col min="7" max="7" width="15.453125" bestFit="1" customWidth="1"/>
    <col min="8" max="8" width="14.453125" bestFit="1" customWidth="1"/>
    <col min="9" max="9" width="22.81640625" bestFit="1" customWidth="1"/>
    <col min="10" max="10" width="17" bestFit="1" customWidth="1"/>
    <col min="11" max="11" width="19.7265625" bestFit="1" customWidth="1"/>
    <col min="12" max="12" width="7.81640625" bestFit="1" customWidth="1"/>
    <col min="13" max="13" width="8.81640625" bestFit="1" customWidth="1"/>
    <col min="14" max="14" width="5.54296875" bestFit="1" customWidth="1"/>
    <col min="16" max="16" width="18" bestFit="1" customWidth="1"/>
    <col min="17" max="17" width="16.81640625" bestFit="1" customWidth="1"/>
  </cols>
  <sheetData>
    <row r="1" spans="1:17" x14ac:dyDescent="0.35">
      <c r="A1" s="73" t="s">
        <v>460</v>
      </c>
      <c r="B1" s="73" t="s">
        <v>425</v>
      </c>
      <c r="C1" s="73" t="s">
        <v>593</v>
      </c>
      <c r="D1" s="73" t="s">
        <v>592</v>
      </c>
      <c r="E1" s="73" t="s">
        <v>591</v>
      </c>
      <c r="F1" s="73" t="s">
        <v>646</v>
      </c>
      <c r="G1" s="73" t="s">
        <v>647</v>
      </c>
      <c r="H1" s="73" t="s">
        <v>648</v>
      </c>
      <c r="I1" s="73" t="s">
        <v>649</v>
      </c>
      <c r="J1" s="73" t="s">
        <v>650</v>
      </c>
      <c r="K1" s="73" t="s">
        <v>651</v>
      </c>
      <c r="L1" s="73" t="s">
        <v>652</v>
      </c>
      <c r="M1" s="73" t="s">
        <v>653</v>
      </c>
      <c r="N1" s="73" t="s">
        <v>654</v>
      </c>
      <c r="O1" t="s">
        <v>324</v>
      </c>
      <c r="P1" s="91" t="s">
        <v>327</v>
      </c>
      <c r="Q1" s="8" t="s">
        <v>328</v>
      </c>
    </row>
    <row r="2" spans="1:17" x14ac:dyDescent="0.35">
      <c r="A2" t="s">
        <v>94</v>
      </c>
      <c r="B2" s="2">
        <v>554</v>
      </c>
      <c r="C2" s="2">
        <v>96</v>
      </c>
      <c r="D2" s="2">
        <v>79</v>
      </c>
      <c r="E2" s="2">
        <v>150</v>
      </c>
      <c r="F2" s="4">
        <v>0.46</v>
      </c>
      <c r="G2" s="4">
        <v>0.47</v>
      </c>
      <c r="H2" s="4">
        <v>0</v>
      </c>
      <c r="I2" s="4">
        <v>0.04</v>
      </c>
      <c r="J2" s="4">
        <v>0.02</v>
      </c>
      <c r="K2" s="4">
        <v>0.01</v>
      </c>
      <c r="L2" s="4">
        <v>0.41</v>
      </c>
      <c r="M2" s="4">
        <v>0.22</v>
      </c>
      <c r="N2" s="4">
        <v>0.19</v>
      </c>
      <c r="P2" s="4" cm="1">
        <f t="array" aca="1" ref="P2" ca="1">INDEX(INDIRECT(alliance_cosdq_table),(ROW()-ROW(INDIRECT(alliance_cosdq_cols))),MATCH(selected_cosdq_name_xc,INDIRECT(alliance_cosdq_cols),0))</f>
        <v>0.19</v>
      </c>
      <c r="Q2" s="4">
        <f ca="1">RANK(P2,P:P,0)+COUNTIF($P$2:P2,P2)-1</f>
        <v>6</v>
      </c>
    </row>
    <row r="3" spans="1:17" x14ac:dyDescent="0.35">
      <c r="A3" t="s">
        <v>98</v>
      </c>
      <c r="B3" s="2">
        <v>1047</v>
      </c>
      <c r="C3" s="2">
        <v>202</v>
      </c>
      <c r="D3" s="2">
        <v>133</v>
      </c>
      <c r="E3" s="2">
        <v>318</v>
      </c>
      <c r="F3" s="4">
        <v>0.43</v>
      </c>
      <c r="G3" s="4">
        <v>0.54</v>
      </c>
      <c r="H3" s="4">
        <v>0</v>
      </c>
      <c r="I3" s="4">
        <v>7.0000000000000007E-2</v>
      </c>
      <c r="J3" s="4">
        <v>0.02</v>
      </c>
      <c r="K3" s="4">
        <v>0.01</v>
      </c>
      <c r="L3" s="4">
        <v>0.64</v>
      </c>
      <c r="M3" s="4">
        <v>0.24</v>
      </c>
      <c r="N3" s="4">
        <v>0.23</v>
      </c>
      <c r="P3" s="4" cm="1">
        <f t="array" aca="1" ref="P3" ca="1">INDEX(INDIRECT(alliance_cosdq_table),(ROW()-ROW(INDIRECT(alliance_cosdq_cols))),MATCH(selected_cosdq_name_xc,INDIRECT(alliance_cosdq_cols),0))</f>
        <v>0.23</v>
      </c>
      <c r="Q3" s="4">
        <f ca="1">RANK(P3,P:P,0)+COUNTIF($P$2:P3,P3)-1</f>
        <v>3</v>
      </c>
    </row>
    <row r="4" spans="1:17" x14ac:dyDescent="0.35">
      <c r="A4" t="s">
        <v>102</v>
      </c>
      <c r="B4" s="2">
        <v>795</v>
      </c>
      <c r="C4" s="2">
        <v>96</v>
      </c>
      <c r="D4" s="2">
        <v>118</v>
      </c>
      <c r="E4" s="2">
        <v>167</v>
      </c>
      <c r="F4" s="4">
        <v>0.41</v>
      </c>
      <c r="G4" s="4">
        <v>0.5</v>
      </c>
      <c r="H4" s="4">
        <v>0.01</v>
      </c>
      <c r="I4" s="4">
        <v>7.0000000000000007E-2</v>
      </c>
      <c r="J4" s="4">
        <v>0.02</v>
      </c>
      <c r="K4" s="4">
        <v>0.01</v>
      </c>
      <c r="L4" s="4">
        <v>0.28000000000000003</v>
      </c>
      <c r="M4" s="4">
        <v>0.05</v>
      </c>
      <c r="N4" s="4">
        <v>0.04</v>
      </c>
      <c r="P4" s="4" cm="1">
        <f t="array" aca="1" ref="P4" ca="1">INDEX(INDIRECT(alliance_cosdq_table),(ROW()-ROW(INDIRECT(alliance_cosdq_cols))),MATCH(selected_cosdq_name_xc,INDIRECT(alliance_cosdq_cols),0))</f>
        <v>0.04</v>
      </c>
      <c r="Q4" s="4">
        <f ca="1">RANK(P4,P:P,0)+COUNTIF($P$2:P4,P4)-1</f>
        <v>14</v>
      </c>
    </row>
    <row r="5" spans="1:17" x14ac:dyDescent="0.35">
      <c r="A5" t="s">
        <v>105</v>
      </c>
      <c r="B5" s="2">
        <v>632</v>
      </c>
      <c r="C5" s="2">
        <v>123</v>
      </c>
      <c r="D5" s="2">
        <v>81</v>
      </c>
      <c r="E5" s="2">
        <v>175</v>
      </c>
      <c r="F5" s="4">
        <v>0.44</v>
      </c>
      <c r="G5" s="4">
        <v>0.39</v>
      </c>
      <c r="H5" s="4">
        <v>0</v>
      </c>
      <c r="I5" s="4">
        <v>0.06</v>
      </c>
      <c r="J5" s="4">
        <v>0.02</v>
      </c>
      <c r="K5" s="4">
        <v>0.02</v>
      </c>
      <c r="L5" s="4">
        <v>0.24</v>
      </c>
      <c r="M5" s="4">
        <v>0.04</v>
      </c>
      <c r="N5" s="4">
        <v>0.09</v>
      </c>
      <c r="P5" s="4" cm="1">
        <f t="array" aca="1" ref="P5" ca="1">INDEX(INDIRECT(alliance_cosdq_table),(ROW()-ROW(INDIRECT(alliance_cosdq_cols))),MATCH(selected_cosdq_name_xc,INDIRECT(alliance_cosdq_cols),0))</f>
        <v>0.09</v>
      </c>
      <c r="Q5" s="4">
        <f ca="1">RANK(P5,P:P,0)+COUNTIF($P$2:P5,P5)-1</f>
        <v>9</v>
      </c>
    </row>
    <row r="6" spans="1:17" x14ac:dyDescent="0.35">
      <c r="A6" t="s">
        <v>108</v>
      </c>
      <c r="B6" s="2">
        <v>522</v>
      </c>
      <c r="C6" s="2">
        <v>71</v>
      </c>
      <c r="D6" s="2">
        <v>90</v>
      </c>
      <c r="E6" s="2">
        <v>78</v>
      </c>
      <c r="F6" s="4">
        <v>0.23</v>
      </c>
      <c r="G6" s="4">
        <v>0.33</v>
      </c>
      <c r="H6" s="4">
        <v>0.01</v>
      </c>
      <c r="I6" s="4">
        <v>0.04</v>
      </c>
      <c r="J6" s="4">
        <v>0</v>
      </c>
      <c r="K6" s="4">
        <v>0.04</v>
      </c>
      <c r="L6" s="4">
        <v>0.13</v>
      </c>
      <c r="M6" s="4">
        <v>0.09</v>
      </c>
      <c r="N6" s="4">
        <v>0.04</v>
      </c>
      <c r="P6" s="4" cm="1">
        <f t="array" aca="1" ref="P6" ca="1">INDEX(INDIRECT(alliance_cosdq_table),(ROW()-ROW(INDIRECT(alliance_cosdq_cols))),MATCH(selected_cosdq_name_xc,INDIRECT(alliance_cosdq_cols),0))</f>
        <v>0.04</v>
      </c>
      <c r="Q6" s="4">
        <f ca="1">RANK(P6,P:P,0)+COUNTIF($P$2:P6,P6)-1</f>
        <v>15</v>
      </c>
    </row>
    <row r="7" spans="1:17" x14ac:dyDescent="0.35">
      <c r="A7" t="s">
        <v>469</v>
      </c>
      <c r="B7" s="2">
        <v>380</v>
      </c>
      <c r="C7" s="2">
        <v>89</v>
      </c>
      <c r="D7" s="2">
        <v>51</v>
      </c>
      <c r="E7" s="2">
        <v>119</v>
      </c>
      <c r="F7" s="4">
        <v>0.55000000000000004</v>
      </c>
      <c r="G7" s="4">
        <v>0.56999999999999995</v>
      </c>
      <c r="H7" s="4">
        <v>0.02</v>
      </c>
      <c r="I7" s="4">
        <v>0.11</v>
      </c>
      <c r="J7" s="4">
        <v>0.03</v>
      </c>
      <c r="K7" s="4">
        <v>0.1</v>
      </c>
      <c r="L7" s="4">
        <v>0.3</v>
      </c>
      <c r="M7" s="4">
        <v>0.04</v>
      </c>
      <c r="N7" s="4">
        <v>0.1</v>
      </c>
      <c r="P7" s="4" cm="1">
        <f t="array" aca="1" ref="P7" ca="1">INDEX(INDIRECT(alliance_cosdq_table),(ROW()-ROW(INDIRECT(alliance_cosdq_cols))),MATCH(selected_cosdq_name_xc,INDIRECT(alliance_cosdq_cols),0))</f>
        <v>0.1</v>
      </c>
      <c r="Q7" s="4">
        <f ca="1">RANK(P7,P:P,0)+COUNTIF($P$2:P7,P7)-1</f>
        <v>8</v>
      </c>
    </row>
    <row r="8" spans="1:17" x14ac:dyDescent="0.35">
      <c r="A8" t="s">
        <v>114</v>
      </c>
      <c r="B8" s="2">
        <v>437</v>
      </c>
      <c r="C8" s="2">
        <v>62</v>
      </c>
      <c r="D8" s="2">
        <v>63</v>
      </c>
      <c r="E8" s="2">
        <v>102</v>
      </c>
      <c r="F8" s="4">
        <v>0.47</v>
      </c>
      <c r="G8" s="4">
        <v>0.37</v>
      </c>
      <c r="H8" s="4">
        <v>0</v>
      </c>
      <c r="I8" s="4">
        <v>0.04</v>
      </c>
      <c r="J8" s="4">
        <v>0.02</v>
      </c>
      <c r="K8" s="4">
        <v>0.03</v>
      </c>
      <c r="L8" s="4">
        <v>0.19</v>
      </c>
      <c r="M8" s="4">
        <v>0</v>
      </c>
      <c r="N8" s="4">
        <v>0.26</v>
      </c>
      <c r="P8" s="4" cm="1">
        <f t="array" aca="1" ref="P8" ca="1">INDEX(INDIRECT(alliance_cosdq_table),(ROW()-ROW(INDIRECT(alliance_cosdq_cols))),MATCH(selected_cosdq_name_xc,INDIRECT(alliance_cosdq_cols),0))</f>
        <v>0.26</v>
      </c>
      <c r="Q8" s="4">
        <f ca="1">RANK(P8,P:P,0)+COUNTIF($P$2:P8,P8)-1</f>
        <v>2</v>
      </c>
    </row>
    <row r="9" spans="1:17" x14ac:dyDescent="0.35">
      <c r="A9" t="s">
        <v>113</v>
      </c>
      <c r="B9" s="2">
        <v>433</v>
      </c>
      <c r="C9" s="2">
        <v>138</v>
      </c>
      <c r="D9" s="2">
        <v>68</v>
      </c>
      <c r="E9" s="2">
        <v>87</v>
      </c>
      <c r="F9" s="4">
        <v>0.63</v>
      </c>
      <c r="G9" s="4">
        <v>0.53</v>
      </c>
      <c r="H9" s="4">
        <v>0</v>
      </c>
      <c r="I9" s="4">
        <v>0.01</v>
      </c>
      <c r="J9" s="4">
        <v>0</v>
      </c>
      <c r="K9" s="4">
        <v>0.03</v>
      </c>
      <c r="L9" s="4">
        <v>0.46</v>
      </c>
      <c r="M9" s="4">
        <v>0.38</v>
      </c>
      <c r="N9" s="4">
        <v>0.33</v>
      </c>
      <c r="P9" s="4" cm="1">
        <f t="array" aca="1" ref="P9" ca="1">INDEX(INDIRECT(alliance_cosdq_table),(ROW()-ROW(INDIRECT(alliance_cosdq_cols))),MATCH(selected_cosdq_name_xc,INDIRECT(alliance_cosdq_cols),0))</f>
        <v>0.33</v>
      </c>
      <c r="Q9" s="4">
        <f ca="1">RANK(P9,P:P,0)+COUNTIF($P$2:P9,P9)-1</f>
        <v>1</v>
      </c>
    </row>
    <row r="10" spans="1:17" x14ac:dyDescent="0.35">
      <c r="A10" t="s">
        <v>119</v>
      </c>
      <c r="B10" s="2">
        <v>320</v>
      </c>
      <c r="C10" s="2">
        <v>39</v>
      </c>
      <c r="D10" s="2">
        <v>42</v>
      </c>
      <c r="E10" s="2">
        <v>56</v>
      </c>
      <c r="F10" s="4">
        <v>0.15</v>
      </c>
      <c r="G10" s="4">
        <v>0.26</v>
      </c>
      <c r="H10" s="4">
        <v>0</v>
      </c>
      <c r="I10" s="4">
        <v>0.04</v>
      </c>
      <c r="J10" s="4">
        <v>0</v>
      </c>
      <c r="K10" s="4">
        <v>0.01</v>
      </c>
      <c r="L10" s="4">
        <v>0.38</v>
      </c>
      <c r="M10" s="4">
        <v>0.1</v>
      </c>
      <c r="N10" s="4">
        <v>0.11</v>
      </c>
      <c r="P10" s="4" cm="1">
        <f t="array" aca="1" ref="P10" ca="1">INDEX(INDIRECT(alliance_cosdq_table),(ROW()-ROW(INDIRECT(alliance_cosdq_cols))),MATCH(selected_cosdq_name_xc,INDIRECT(alliance_cosdq_cols),0))</f>
        <v>0.11</v>
      </c>
      <c r="Q10" s="4">
        <f ca="1">RANK(P10,P:P,0)+COUNTIF($P$2:P10,P10)-1</f>
        <v>7</v>
      </c>
    </row>
    <row r="11" spans="1:17" x14ac:dyDescent="0.35">
      <c r="A11" t="s">
        <v>101</v>
      </c>
      <c r="B11" s="2">
        <v>249</v>
      </c>
      <c r="C11" s="2">
        <v>44</v>
      </c>
      <c r="D11" s="2">
        <v>24</v>
      </c>
      <c r="E11" s="2">
        <v>78</v>
      </c>
      <c r="F11" s="4">
        <v>0.2</v>
      </c>
      <c r="G11" s="4">
        <v>0.33</v>
      </c>
      <c r="H11" s="4">
        <v>0</v>
      </c>
      <c r="I11" s="4">
        <v>0.03</v>
      </c>
      <c r="J11" s="4">
        <v>0.01</v>
      </c>
      <c r="K11" s="4">
        <v>0.01</v>
      </c>
      <c r="L11" s="4">
        <v>0.43</v>
      </c>
      <c r="M11" s="4">
        <v>0.21</v>
      </c>
      <c r="N11" s="4">
        <v>0.22</v>
      </c>
      <c r="P11" s="4" cm="1">
        <f t="array" aca="1" ref="P11" ca="1">INDEX(INDIRECT(alliance_cosdq_table),(ROW()-ROW(INDIRECT(alliance_cosdq_cols))),MATCH(selected_cosdq_name_xc,INDIRECT(alliance_cosdq_cols),0))</f>
        <v>0.22</v>
      </c>
      <c r="Q11" s="4">
        <f ca="1">RANK(P11,P:P,0)+COUNTIF($P$2:P11,P11)-1</f>
        <v>4</v>
      </c>
    </row>
    <row r="12" spans="1:17" x14ac:dyDescent="0.35">
      <c r="A12" t="s">
        <v>124</v>
      </c>
      <c r="B12" s="2">
        <v>844</v>
      </c>
      <c r="C12" s="2">
        <v>158</v>
      </c>
      <c r="D12" s="2">
        <v>117</v>
      </c>
      <c r="E12" s="2">
        <v>274</v>
      </c>
      <c r="F12" s="4">
        <v>0.43</v>
      </c>
      <c r="G12" s="4">
        <v>0.51</v>
      </c>
      <c r="H12" s="4">
        <v>0.02</v>
      </c>
      <c r="I12" s="4">
        <v>0.12</v>
      </c>
      <c r="J12" s="4">
        <v>0.02</v>
      </c>
      <c r="K12" s="4">
        <v>0.02</v>
      </c>
      <c r="L12" s="4">
        <v>0.32</v>
      </c>
      <c r="M12" s="4">
        <v>0.23</v>
      </c>
      <c r="N12" s="4">
        <v>0.22</v>
      </c>
      <c r="P12" s="4" cm="1">
        <f t="array" aca="1" ref="P12" ca="1">INDEX(INDIRECT(alliance_cosdq_table),(ROW()-ROW(INDIRECT(alliance_cosdq_cols))),MATCH(selected_cosdq_name_xc,INDIRECT(alliance_cosdq_cols),0))</f>
        <v>0.22</v>
      </c>
      <c r="Q12" s="4">
        <f ca="1">RANK(P12,P:P,0)+COUNTIF($P$2:P12,P12)-1</f>
        <v>5</v>
      </c>
    </row>
    <row r="13" spans="1:17" x14ac:dyDescent="0.35">
      <c r="A13" t="s">
        <v>127</v>
      </c>
      <c r="B13" s="2">
        <v>527</v>
      </c>
      <c r="C13" s="2">
        <v>87</v>
      </c>
      <c r="D13" s="2">
        <v>70</v>
      </c>
      <c r="E13" s="2">
        <v>127</v>
      </c>
      <c r="F13" s="4">
        <v>0.31</v>
      </c>
      <c r="G13" s="4">
        <v>0.41</v>
      </c>
      <c r="H13" s="4">
        <v>0.02</v>
      </c>
      <c r="I13" s="4">
        <v>0.11</v>
      </c>
      <c r="J13" s="4">
        <v>0.04</v>
      </c>
      <c r="K13" s="4">
        <v>0.02</v>
      </c>
      <c r="L13" s="4">
        <v>0.28000000000000003</v>
      </c>
      <c r="M13" s="4">
        <v>0.1</v>
      </c>
      <c r="N13" s="4">
        <v>0.08</v>
      </c>
      <c r="P13" s="4" cm="1">
        <f t="array" aca="1" ref="P13" ca="1">INDEX(INDIRECT(alliance_cosdq_table),(ROW()-ROW(INDIRECT(alliance_cosdq_cols))),MATCH(selected_cosdq_name_xc,INDIRECT(alliance_cosdq_cols),0))</f>
        <v>0.08</v>
      </c>
      <c r="Q13" s="4">
        <f ca="1">RANK(P13,P:P,0)+COUNTIF($P$2:P13,P13)-1</f>
        <v>11</v>
      </c>
    </row>
    <row r="14" spans="1:17" x14ac:dyDescent="0.35">
      <c r="A14" t="s">
        <v>462</v>
      </c>
      <c r="B14" s="2">
        <v>703</v>
      </c>
      <c r="C14" s="2">
        <v>95</v>
      </c>
      <c r="D14" s="2">
        <v>86</v>
      </c>
      <c r="E14" s="2">
        <v>189</v>
      </c>
      <c r="F14" s="4">
        <v>0.43</v>
      </c>
      <c r="G14" s="4">
        <v>0.35</v>
      </c>
      <c r="H14" s="4">
        <v>0</v>
      </c>
      <c r="I14" s="4">
        <v>0.02</v>
      </c>
      <c r="J14" s="4">
        <v>0</v>
      </c>
      <c r="K14" s="4">
        <v>0.01</v>
      </c>
      <c r="L14" s="4">
        <v>0.38</v>
      </c>
      <c r="M14" s="4">
        <v>0</v>
      </c>
      <c r="N14" s="4">
        <v>0.02</v>
      </c>
      <c r="O14" s="2"/>
      <c r="P14" s="4" cm="1">
        <f t="array" aca="1" ref="P14" ca="1">INDEX(INDIRECT(alliance_cosdq_table),(ROW()-ROW(INDIRECT(alliance_cosdq_cols))),MATCH(selected_cosdq_name_xc,INDIRECT(alliance_cosdq_cols),0))</f>
        <v>0.02</v>
      </c>
      <c r="Q14" s="4">
        <f ca="1">RANK(P14,P:P,0)+COUNTIF($P$2:P14,P14)-1</f>
        <v>17</v>
      </c>
    </row>
    <row r="15" spans="1:17" x14ac:dyDescent="0.35">
      <c r="A15" t="s">
        <v>464</v>
      </c>
      <c r="B15" s="2">
        <v>724</v>
      </c>
      <c r="C15" s="2">
        <v>118</v>
      </c>
      <c r="D15" s="2">
        <v>107</v>
      </c>
      <c r="E15" s="2">
        <v>183</v>
      </c>
      <c r="F15" s="4">
        <v>0.25</v>
      </c>
      <c r="G15" s="4">
        <v>0.46</v>
      </c>
      <c r="H15" s="4">
        <v>0.02</v>
      </c>
      <c r="I15" s="4">
        <v>0.12</v>
      </c>
      <c r="J15" s="4">
        <v>0.04</v>
      </c>
      <c r="K15" s="4">
        <v>0.01</v>
      </c>
      <c r="L15" s="4">
        <v>0.09</v>
      </c>
      <c r="M15" s="4">
        <v>0.06</v>
      </c>
      <c r="N15" s="4">
        <v>0.09</v>
      </c>
      <c r="P15" s="4" cm="1">
        <f t="array" aca="1" ref="P15" ca="1">INDEX(INDIRECT(alliance_cosdq_table),(ROW()-ROW(INDIRECT(alliance_cosdq_cols))),MATCH(selected_cosdq_name_xc,INDIRECT(alliance_cosdq_cols),0))</f>
        <v>0.09</v>
      </c>
      <c r="Q15" s="4">
        <f ca="1">RANK(P15,P:P,0)+COUNTIF($P$2:P15,P15)-1</f>
        <v>10</v>
      </c>
    </row>
    <row r="16" spans="1:17" x14ac:dyDescent="0.35">
      <c r="A16" t="s">
        <v>133</v>
      </c>
      <c r="B16" s="2">
        <v>361</v>
      </c>
      <c r="C16" s="2">
        <v>26</v>
      </c>
      <c r="D16" s="2">
        <v>37</v>
      </c>
      <c r="E16" s="2">
        <v>57</v>
      </c>
      <c r="F16" s="4">
        <v>0.28999999999999998</v>
      </c>
      <c r="G16" s="4">
        <v>0.3</v>
      </c>
      <c r="H16" s="4">
        <v>0</v>
      </c>
      <c r="I16" s="4">
        <v>0.06</v>
      </c>
      <c r="J16" s="4">
        <v>0</v>
      </c>
      <c r="K16" s="4">
        <v>0.01</v>
      </c>
      <c r="L16" s="4">
        <v>0.12</v>
      </c>
      <c r="M16" s="4">
        <v>0</v>
      </c>
      <c r="N16" s="4">
        <v>0.02</v>
      </c>
      <c r="P16" s="4" cm="1">
        <f t="array" aca="1" ref="P16" ca="1">INDEX(INDIRECT(alliance_cosdq_table),(ROW()-ROW(INDIRECT(alliance_cosdq_cols))),MATCH(selected_cosdq_name_xc,INDIRECT(alliance_cosdq_cols),0))</f>
        <v>0.02</v>
      </c>
      <c r="Q16" s="4">
        <f ca="1">RANK(P16,P:P,0)+COUNTIF($P$2:P16,P16)-1</f>
        <v>18</v>
      </c>
    </row>
    <row r="17" spans="1:17" x14ac:dyDescent="0.35">
      <c r="A17" t="s">
        <v>104</v>
      </c>
      <c r="B17" s="2">
        <v>366</v>
      </c>
      <c r="C17" s="2">
        <v>44</v>
      </c>
      <c r="D17" s="2">
        <v>56</v>
      </c>
      <c r="E17" s="2">
        <v>28</v>
      </c>
      <c r="F17" s="4">
        <v>0.48</v>
      </c>
      <c r="G17" s="4">
        <v>0.45</v>
      </c>
      <c r="H17" s="4">
        <v>0</v>
      </c>
      <c r="I17" s="4">
        <v>0.06</v>
      </c>
      <c r="J17" s="4">
        <v>0.02</v>
      </c>
      <c r="K17" s="4">
        <v>0.01</v>
      </c>
      <c r="L17" s="4">
        <v>0.7</v>
      </c>
      <c r="M17" s="4">
        <v>0</v>
      </c>
      <c r="N17" s="4">
        <v>0.04</v>
      </c>
      <c r="P17" s="4" cm="1">
        <f t="array" aca="1" ref="P17" ca="1">INDEX(INDIRECT(alliance_cosdq_table),(ROW()-ROW(INDIRECT(alliance_cosdq_cols))),MATCH(selected_cosdq_name_xc,INDIRECT(alliance_cosdq_cols),0))</f>
        <v>0.04</v>
      </c>
      <c r="Q17" s="4">
        <f ca="1">RANK(P17,P:P,0)+COUNTIF($P$2:P17,P17)-1</f>
        <v>16</v>
      </c>
    </row>
    <row r="18" spans="1:17" x14ac:dyDescent="0.35">
      <c r="A18" t="s">
        <v>97</v>
      </c>
      <c r="B18" s="2">
        <v>822</v>
      </c>
      <c r="C18" s="2">
        <v>153</v>
      </c>
      <c r="D18" s="2">
        <v>114</v>
      </c>
      <c r="E18" s="2">
        <v>238</v>
      </c>
      <c r="F18" s="4">
        <v>0.27</v>
      </c>
      <c r="G18" s="4">
        <v>0.4</v>
      </c>
      <c r="H18" s="4">
        <v>0</v>
      </c>
      <c r="I18" s="4">
        <v>0.04</v>
      </c>
      <c r="J18" s="4">
        <v>0.02</v>
      </c>
      <c r="K18" s="4">
        <v>0</v>
      </c>
      <c r="L18" s="4">
        <v>0.23</v>
      </c>
      <c r="M18" s="4">
        <v>0.04</v>
      </c>
      <c r="N18" s="4">
        <v>0.06</v>
      </c>
      <c r="P18" s="4" cm="1">
        <f t="array" aca="1" ref="P18" ca="1">INDEX(INDIRECT(alliance_cosdq_table),(ROW()-ROW(INDIRECT(alliance_cosdq_cols))),MATCH(selected_cosdq_name_xc,INDIRECT(alliance_cosdq_cols),0))</f>
        <v>0.06</v>
      </c>
      <c r="Q18" s="4">
        <f ca="1">RANK(P18,P:P,0)+COUNTIF($P$2:P18,P18)-1</f>
        <v>13</v>
      </c>
    </row>
    <row r="19" spans="1:17" x14ac:dyDescent="0.35">
      <c r="A19" t="s">
        <v>122</v>
      </c>
      <c r="B19" s="2">
        <v>500</v>
      </c>
      <c r="C19" s="2">
        <v>84</v>
      </c>
      <c r="D19" s="2">
        <v>73</v>
      </c>
      <c r="E19" s="2">
        <v>152</v>
      </c>
      <c r="F19" s="4">
        <v>0.64</v>
      </c>
      <c r="G19" s="4">
        <v>0.34</v>
      </c>
      <c r="H19" s="4">
        <v>0.01</v>
      </c>
      <c r="I19" s="4">
        <v>0.08</v>
      </c>
      <c r="J19" s="4">
        <v>0.01</v>
      </c>
      <c r="K19" s="4">
        <v>0</v>
      </c>
      <c r="L19" s="4">
        <v>0.23</v>
      </c>
      <c r="M19" s="4">
        <v>0</v>
      </c>
      <c r="N19" s="4">
        <v>0</v>
      </c>
      <c r="P19" s="4" cm="1">
        <f t="array" aca="1" ref="P19" ca="1">INDEX(INDIRECT(alliance_cosdq_table),(ROW()-ROW(INDIRECT(alliance_cosdq_cols))),MATCH(selected_cosdq_name_xc,INDIRECT(alliance_cosdq_cols),0))</f>
        <v>0</v>
      </c>
      <c r="Q19" s="4">
        <f ca="1">RANK(P19,P:P,0)+COUNTIF($P$2:P19,P19)-1</f>
        <v>20</v>
      </c>
    </row>
    <row r="20" spans="1:17" x14ac:dyDescent="0.35">
      <c r="A20" t="s">
        <v>142</v>
      </c>
      <c r="B20" s="2">
        <v>609</v>
      </c>
      <c r="C20" s="2">
        <v>128</v>
      </c>
      <c r="D20" s="2">
        <v>80</v>
      </c>
      <c r="E20" s="2">
        <v>196</v>
      </c>
      <c r="F20" s="4">
        <v>0.5</v>
      </c>
      <c r="G20" s="4">
        <v>0.54</v>
      </c>
      <c r="H20" s="4">
        <v>0.01</v>
      </c>
      <c r="I20" s="4">
        <v>0.1</v>
      </c>
      <c r="J20" s="4">
        <v>0.04</v>
      </c>
      <c r="K20" s="4">
        <v>0</v>
      </c>
      <c r="L20" s="4">
        <v>0.27</v>
      </c>
      <c r="M20" s="4">
        <v>0</v>
      </c>
      <c r="N20" s="4">
        <v>0.01</v>
      </c>
      <c r="P20" s="4" cm="1">
        <f t="array" aca="1" ref="P20" ca="1">INDEX(INDIRECT(alliance_cosdq_table),(ROW()-ROW(INDIRECT(alliance_cosdq_cols))),MATCH(selected_cosdq_name_xc,INDIRECT(alliance_cosdq_cols),0))</f>
        <v>0.01</v>
      </c>
      <c r="Q20" s="4">
        <f ca="1">RANK(P20,P:P,0)+COUNTIF($P$2:P20,P20)-1</f>
        <v>19</v>
      </c>
    </row>
    <row r="21" spans="1:17" x14ac:dyDescent="0.35">
      <c r="A21" t="s">
        <v>145</v>
      </c>
      <c r="B21" s="2">
        <v>1298</v>
      </c>
      <c r="C21" s="2">
        <v>230</v>
      </c>
      <c r="D21" s="2">
        <v>140</v>
      </c>
      <c r="E21" s="2">
        <v>353</v>
      </c>
      <c r="F21" s="4">
        <v>0.39</v>
      </c>
      <c r="G21" s="4">
        <v>0.44</v>
      </c>
      <c r="H21" s="4">
        <v>0.01</v>
      </c>
      <c r="I21" s="4">
        <v>0.04</v>
      </c>
      <c r="J21" s="4">
        <v>0.02</v>
      </c>
      <c r="K21" s="4">
        <v>0.01</v>
      </c>
      <c r="L21" s="4">
        <v>0.35</v>
      </c>
      <c r="M21" s="4">
        <v>0.14000000000000001</v>
      </c>
      <c r="N21" s="4">
        <v>0.08</v>
      </c>
      <c r="P21" s="4" cm="1">
        <f t="array" aca="1" ref="P21" ca="1">INDEX(INDIRECT(alliance_cosdq_table),(ROW()-ROW(INDIRECT(alliance_cosdq_cols))),MATCH(selected_cosdq_name_xc,INDIRECT(alliance_cosdq_cols),0))</f>
        <v>0.08</v>
      </c>
      <c r="Q21" s="4">
        <f ca="1">RANK(P21,P:P,0)+COUNTIF($P$2:P21,P21)-1</f>
        <v>12</v>
      </c>
    </row>
    <row r="22" spans="1:17" x14ac:dyDescent="0.35">
      <c r="A22" t="s">
        <v>93</v>
      </c>
      <c r="B22" s="2">
        <v>621</v>
      </c>
      <c r="C22" s="2">
        <v>166</v>
      </c>
      <c r="D22" s="2">
        <v>88</v>
      </c>
      <c r="E22" s="2">
        <v>148</v>
      </c>
      <c r="F22" s="4">
        <v>0.67</v>
      </c>
      <c r="G22" s="4">
        <v>0.45</v>
      </c>
      <c r="H22" s="4">
        <v>0.01</v>
      </c>
      <c r="I22" s="4">
        <v>0.11</v>
      </c>
      <c r="J22" s="4">
        <v>0.01</v>
      </c>
      <c r="K22" s="4">
        <v>0.01</v>
      </c>
      <c r="L22" s="4">
        <v>0.36</v>
      </c>
      <c r="M22" s="4">
        <v>0</v>
      </c>
      <c r="N22" s="4">
        <v>0</v>
      </c>
      <c r="P22" s="4" cm="1">
        <f t="array" aca="1" ref="P22" ca="1">INDEX(INDIRECT(alliance_cosdq_table),(ROW()-ROW(INDIRECT(alliance_cosdq_cols))),MATCH(selected_cosdq_name_xc,INDIRECT(alliance_cosdq_cols),0))</f>
        <v>0</v>
      </c>
      <c r="Q22" s="4">
        <f ca="1">RANK(P22,P:P,0)+COUNTIF($P$2:P22,P22)-1</f>
        <v>21</v>
      </c>
    </row>
  </sheetData>
  <sortState xmlns:xlrd2="http://schemas.microsoft.com/office/spreadsheetml/2017/richdata2" ref="A2:N22">
    <sortCondition ref="A2:A22"/>
  </sortState>
  <conditionalFormatting sqref="P2:P22">
    <cfRule type="top10" dxfId="3" priority="3" bottom="1" rank="1"/>
    <cfRule type="top10" dxfId="2" priority="4" rank="1"/>
  </conditionalFormatting>
  <conditionalFormatting sqref="Q2:Q22">
    <cfRule type="top10" dxfId="1" priority="1" bottom="1" rank="1"/>
    <cfRule type="top10" dxfId="0" priority="2" rank="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8403-3FD1-43B5-9096-8ED54AE4C781}">
  <sheetPr>
    <tabColor theme="9" tint="0.79998168889431442"/>
  </sheetPr>
  <dimension ref="A1:Q2"/>
  <sheetViews>
    <sheetView workbookViewId="0"/>
  </sheetViews>
  <sheetFormatPr defaultRowHeight="14.5" x14ac:dyDescent="0.35"/>
  <cols>
    <col min="1" max="1" width="7.7265625" bestFit="1" customWidth="1"/>
    <col min="2" max="2" width="6" bestFit="1" customWidth="1"/>
    <col min="3" max="3" width="10.54296875" bestFit="1" customWidth="1"/>
    <col min="4" max="4" width="9.26953125" bestFit="1" customWidth="1"/>
    <col min="5" max="5" width="11.81640625" bestFit="1" customWidth="1"/>
    <col min="6" max="6" width="8.1796875" bestFit="1" customWidth="1"/>
    <col min="7" max="7" width="15.453125" bestFit="1" customWidth="1"/>
    <col min="8" max="8" width="14.453125" bestFit="1" customWidth="1"/>
    <col min="9" max="9" width="22.81640625" bestFit="1" customWidth="1"/>
    <col min="10" max="10" width="17" bestFit="1" customWidth="1"/>
    <col min="11" max="11" width="19.7265625" bestFit="1" customWidth="1"/>
    <col min="12" max="12" width="7.81640625" bestFit="1" customWidth="1"/>
    <col min="13" max="13" width="8.81640625" bestFit="1" customWidth="1"/>
    <col min="14" max="14" width="5.54296875" bestFit="1" customWidth="1"/>
    <col min="16" max="16" width="18" bestFit="1" customWidth="1"/>
    <col min="17" max="17" width="16.81640625" bestFit="1" customWidth="1"/>
  </cols>
  <sheetData>
    <row r="1" spans="1:17" x14ac:dyDescent="0.35">
      <c r="A1" s="73" t="s">
        <v>329</v>
      </c>
      <c r="B1" s="73" t="s">
        <v>425</v>
      </c>
      <c r="C1" s="73" t="s">
        <v>593</v>
      </c>
      <c r="D1" s="73" t="s">
        <v>592</v>
      </c>
      <c r="E1" s="73" t="s">
        <v>591</v>
      </c>
      <c r="F1" s="73" t="s">
        <v>646</v>
      </c>
      <c r="G1" s="73" t="s">
        <v>647</v>
      </c>
      <c r="H1" s="73" t="s">
        <v>648</v>
      </c>
      <c r="I1" s="73" t="s">
        <v>649</v>
      </c>
      <c r="J1" s="73" t="s">
        <v>650</v>
      </c>
      <c r="K1" s="73" t="s">
        <v>651</v>
      </c>
      <c r="L1" s="73" t="s">
        <v>652</v>
      </c>
      <c r="M1" s="73" t="s">
        <v>653</v>
      </c>
      <c r="N1" s="73" t="s">
        <v>654</v>
      </c>
      <c r="O1" t="s">
        <v>324</v>
      </c>
      <c r="P1" s="8" t="s">
        <v>327</v>
      </c>
      <c r="Q1" s="8" t="s">
        <v>328</v>
      </c>
    </row>
    <row r="2" spans="1:17" x14ac:dyDescent="0.35">
      <c r="A2" s="79" t="s">
        <v>330</v>
      </c>
      <c r="B2" s="2">
        <v>12753</v>
      </c>
      <c r="C2" s="2">
        <v>2249</v>
      </c>
      <c r="D2" s="2">
        <v>1717</v>
      </c>
      <c r="E2" s="2">
        <v>3276</v>
      </c>
      <c r="F2">
        <v>0.41</v>
      </c>
      <c r="G2">
        <v>0.44</v>
      </c>
      <c r="H2">
        <v>0.01</v>
      </c>
      <c r="I2">
        <v>7.0000000000000007E-2</v>
      </c>
      <c r="J2">
        <v>0.02</v>
      </c>
      <c r="K2">
        <v>0.02</v>
      </c>
      <c r="L2">
        <v>0.34</v>
      </c>
      <c r="M2">
        <v>0.1</v>
      </c>
      <c r="N2">
        <v>0.11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AJ124"/>
  <sheetViews>
    <sheetView workbookViewId="0">
      <pane xSplit="2" ySplit="1" topLeftCell="C2" activePane="bottomRight" state="frozen"/>
      <selection pane="topRight"/>
      <selection pane="bottomLeft"/>
      <selection pane="bottomRight"/>
    </sheetView>
  </sheetViews>
  <sheetFormatPr defaultRowHeight="14.5" x14ac:dyDescent="0.35"/>
  <cols>
    <col min="1" max="1" width="61" bestFit="1" customWidth="1"/>
    <col min="2" max="2" width="10.26953125" bestFit="1" customWidth="1"/>
    <col min="3" max="3" width="13" bestFit="1" customWidth="1"/>
    <col min="4" max="4" width="8.453125" bestFit="1" customWidth="1"/>
    <col min="5" max="5" width="17.453125" bestFit="1" customWidth="1"/>
    <col min="6" max="6" width="15.1796875" bestFit="1" customWidth="1"/>
    <col min="7" max="7" width="10.54296875" bestFit="1" customWidth="1"/>
    <col min="8" max="8" width="8.26953125" bestFit="1" customWidth="1"/>
    <col min="9" max="9" width="9" bestFit="1" customWidth="1"/>
    <col min="10" max="11" width="8.1796875" bestFit="1" customWidth="1"/>
    <col min="12" max="12" width="8" bestFit="1" customWidth="1"/>
    <col min="13" max="13" width="16.54296875" bestFit="1" customWidth="1"/>
    <col min="14" max="14" width="10.453125" bestFit="1" customWidth="1"/>
    <col min="15" max="15" width="11.1796875" bestFit="1" customWidth="1"/>
    <col min="16" max="17" width="10.26953125" bestFit="1" customWidth="1"/>
    <col min="18" max="18" width="10.1796875" bestFit="1" customWidth="1"/>
    <col min="19" max="19" width="11" bestFit="1" customWidth="1"/>
    <col min="20" max="22" width="7.7265625" bestFit="1" customWidth="1"/>
    <col min="23" max="23" width="11" bestFit="1" customWidth="1"/>
    <col min="24" max="24" width="13.1796875" bestFit="1" customWidth="1"/>
    <col min="25" max="27" width="9.81640625" bestFit="1" customWidth="1"/>
    <col min="28" max="28" width="13.1796875" bestFit="1" customWidth="1"/>
    <col min="29" max="29" width="6.7265625" bestFit="1" customWidth="1"/>
    <col min="30" max="30" width="11.7265625" bestFit="1" customWidth="1"/>
    <col min="31" max="31" width="7.81640625" bestFit="1" customWidth="1"/>
    <col min="32" max="32" width="15.1796875" bestFit="1" customWidth="1"/>
    <col min="33" max="33" width="8.81640625" bestFit="1" customWidth="1"/>
    <col min="34" max="34" width="9.26953125" bestFit="1" customWidth="1"/>
    <col min="35" max="35" width="10" bestFit="1" customWidth="1"/>
    <col min="36" max="36" width="13.7265625" bestFit="1" customWidth="1"/>
    <col min="37" max="38" width="5.1796875" bestFit="1" customWidth="1"/>
    <col min="39" max="40" width="6.26953125" bestFit="1" customWidth="1"/>
    <col min="41" max="41" width="5.1796875" bestFit="1" customWidth="1"/>
    <col min="42" max="42" width="13.453125" bestFit="1" customWidth="1"/>
    <col min="43" max="44" width="7.26953125" bestFit="1" customWidth="1"/>
    <col min="45" max="46" width="8.453125" bestFit="1" customWidth="1"/>
    <col min="47" max="47" width="7.26953125" bestFit="1" customWidth="1"/>
    <col min="48" max="52" width="6.26953125" bestFit="1" customWidth="1"/>
    <col min="53" max="53" width="14.54296875" bestFit="1" customWidth="1"/>
    <col min="54" max="58" width="8.453125" bestFit="1" customWidth="1"/>
    <col min="59" max="63" width="24.1796875" customWidth="1"/>
    <col min="64" max="64" width="31.453125" customWidth="1"/>
  </cols>
  <sheetData>
    <row r="1" spans="1:36" x14ac:dyDescent="0.35">
      <c r="A1" s="73" t="s">
        <v>88</v>
      </c>
      <c r="B1" s="73" t="s">
        <v>89</v>
      </c>
      <c r="C1" s="73" t="s">
        <v>426</v>
      </c>
      <c r="D1" s="73" t="s">
        <v>427</v>
      </c>
      <c r="E1" s="73" t="s">
        <v>428</v>
      </c>
      <c r="F1" s="73" t="s">
        <v>429</v>
      </c>
      <c r="G1" s="73" t="s">
        <v>430</v>
      </c>
      <c r="H1" s="73" t="s">
        <v>431</v>
      </c>
      <c r="I1" s="73" t="s">
        <v>432</v>
      </c>
      <c r="J1" s="73" t="s">
        <v>433</v>
      </c>
      <c r="K1" s="73" t="s">
        <v>434</v>
      </c>
      <c r="L1" s="73" t="s">
        <v>435</v>
      </c>
      <c r="M1" s="73" t="s">
        <v>436</v>
      </c>
      <c r="N1" s="73" t="s">
        <v>437</v>
      </c>
      <c r="O1" s="73" t="s">
        <v>438</v>
      </c>
      <c r="P1" s="73" t="s">
        <v>439</v>
      </c>
      <c r="Q1" s="73" t="s">
        <v>440</v>
      </c>
      <c r="R1" s="73" t="s">
        <v>441</v>
      </c>
      <c r="S1" s="73" t="s">
        <v>442</v>
      </c>
      <c r="T1" s="73" t="s">
        <v>443</v>
      </c>
      <c r="U1" s="73" t="s">
        <v>444</v>
      </c>
      <c r="V1" s="73" t="s">
        <v>445</v>
      </c>
      <c r="W1" s="73" t="s">
        <v>446</v>
      </c>
      <c r="X1" s="73" t="s">
        <v>447</v>
      </c>
      <c r="Y1" s="73" t="s">
        <v>448</v>
      </c>
      <c r="Z1" s="73" t="s">
        <v>449</v>
      </c>
      <c r="AA1" s="73" t="s">
        <v>450</v>
      </c>
      <c r="AB1" s="73" t="s">
        <v>451</v>
      </c>
      <c r="AC1" s="73" t="s">
        <v>452</v>
      </c>
      <c r="AD1" s="73" t="s">
        <v>453</v>
      </c>
      <c r="AE1" s="73" t="s">
        <v>454</v>
      </c>
      <c r="AF1" s="73" t="s">
        <v>455</v>
      </c>
      <c r="AG1" s="73" t="s">
        <v>456</v>
      </c>
      <c r="AH1" s="73" t="s">
        <v>457</v>
      </c>
      <c r="AI1" s="73" t="s">
        <v>458</v>
      </c>
      <c r="AJ1" s="73" t="s">
        <v>459</v>
      </c>
    </row>
    <row r="2" spans="1:36" x14ac:dyDescent="0.35">
      <c r="A2" t="s">
        <v>31</v>
      </c>
      <c r="B2" t="s">
        <v>92</v>
      </c>
      <c r="C2" s="2">
        <v>18</v>
      </c>
      <c r="D2" s="2">
        <v>29</v>
      </c>
      <c r="E2" s="2">
        <v>31</v>
      </c>
      <c r="F2" s="2">
        <v>22</v>
      </c>
      <c r="G2" s="2">
        <v>36</v>
      </c>
      <c r="H2" s="2">
        <v>64</v>
      </c>
      <c r="I2" s="2">
        <v>92</v>
      </c>
      <c r="J2" s="2">
        <v>3</v>
      </c>
      <c r="K2" s="2">
        <v>3</v>
      </c>
      <c r="L2" s="2">
        <v>1</v>
      </c>
      <c r="M2" s="2">
        <v>0</v>
      </c>
      <c r="N2" s="2">
        <v>1</v>
      </c>
      <c r="O2" s="2">
        <v>27</v>
      </c>
      <c r="P2" s="2">
        <v>29</v>
      </c>
      <c r="Q2" s="2">
        <v>25</v>
      </c>
      <c r="R2" s="2">
        <v>9</v>
      </c>
      <c r="S2" s="2">
        <v>10</v>
      </c>
      <c r="T2" s="2">
        <v>86</v>
      </c>
      <c r="U2" s="2">
        <v>4</v>
      </c>
      <c r="V2" s="2">
        <v>10</v>
      </c>
      <c r="W2" s="2">
        <v>21</v>
      </c>
      <c r="X2" s="2">
        <v>14</v>
      </c>
      <c r="Y2" s="2">
        <v>25</v>
      </c>
      <c r="Z2" s="2">
        <v>26</v>
      </c>
      <c r="AA2" s="2">
        <v>3</v>
      </c>
      <c r="AB2" s="2">
        <v>1</v>
      </c>
      <c r="AC2" s="2">
        <v>3</v>
      </c>
      <c r="AD2" s="2">
        <v>3</v>
      </c>
      <c r="AE2" s="2">
        <v>91</v>
      </c>
      <c r="AF2" s="2">
        <v>12</v>
      </c>
      <c r="AG2" s="2">
        <v>9</v>
      </c>
      <c r="AH2" s="2">
        <v>3</v>
      </c>
      <c r="AI2" s="2">
        <v>3</v>
      </c>
      <c r="AJ2" s="2">
        <v>74</v>
      </c>
    </row>
    <row r="3" spans="1:36" x14ac:dyDescent="0.35">
      <c r="A3" t="s">
        <v>95</v>
      </c>
      <c r="B3" t="s">
        <v>96</v>
      </c>
      <c r="C3" s="2">
        <v>23</v>
      </c>
      <c r="D3" s="2">
        <v>15</v>
      </c>
      <c r="E3" s="2">
        <v>33</v>
      </c>
      <c r="F3" s="2">
        <v>28</v>
      </c>
      <c r="G3" s="2">
        <v>39</v>
      </c>
      <c r="H3" s="2">
        <v>61</v>
      </c>
      <c r="I3" s="2">
        <v>81</v>
      </c>
      <c r="J3" s="2">
        <v>9</v>
      </c>
      <c r="K3" s="2">
        <v>0</v>
      </c>
      <c r="L3" s="2">
        <v>2</v>
      </c>
      <c r="M3" s="2">
        <v>4</v>
      </c>
      <c r="N3" s="2">
        <v>4</v>
      </c>
      <c r="O3" s="2">
        <v>43</v>
      </c>
      <c r="P3" s="2">
        <v>32</v>
      </c>
      <c r="Q3" s="2">
        <v>16</v>
      </c>
      <c r="R3" s="2">
        <v>9</v>
      </c>
      <c r="S3" s="2">
        <v>0</v>
      </c>
      <c r="T3" s="2">
        <v>84</v>
      </c>
      <c r="U3" s="2">
        <v>6</v>
      </c>
      <c r="V3" s="2">
        <v>10</v>
      </c>
      <c r="W3" s="2">
        <v>20</v>
      </c>
      <c r="X3" s="2">
        <v>15</v>
      </c>
      <c r="Y3" s="2">
        <v>27</v>
      </c>
      <c r="Z3" s="2">
        <v>23</v>
      </c>
      <c r="AA3" s="2">
        <v>6</v>
      </c>
      <c r="AB3" s="2">
        <v>10</v>
      </c>
      <c r="AC3" s="2">
        <v>8</v>
      </c>
      <c r="AD3" s="2">
        <v>21</v>
      </c>
      <c r="AE3" s="2">
        <v>55</v>
      </c>
      <c r="AF3" s="2">
        <v>40</v>
      </c>
      <c r="AG3" s="2">
        <v>20</v>
      </c>
      <c r="AH3" s="2">
        <v>6</v>
      </c>
      <c r="AI3" s="2">
        <v>2</v>
      </c>
      <c r="AJ3" s="2">
        <v>32</v>
      </c>
    </row>
    <row r="4" spans="1:36" x14ac:dyDescent="0.35">
      <c r="A4" t="s">
        <v>99</v>
      </c>
      <c r="B4" t="s">
        <v>100</v>
      </c>
      <c r="C4" s="2">
        <v>23</v>
      </c>
      <c r="D4" s="2">
        <v>27</v>
      </c>
      <c r="E4" s="2">
        <v>33</v>
      </c>
      <c r="F4" s="2">
        <v>16</v>
      </c>
      <c r="G4" s="2">
        <v>46</v>
      </c>
      <c r="H4" s="2">
        <v>54</v>
      </c>
      <c r="I4" s="2">
        <v>68</v>
      </c>
      <c r="J4" s="2">
        <v>16</v>
      </c>
      <c r="K4" s="2">
        <v>5</v>
      </c>
      <c r="L4" s="2">
        <v>2</v>
      </c>
      <c r="M4" s="2">
        <v>5</v>
      </c>
      <c r="N4" s="2">
        <v>4</v>
      </c>
      <c r="O4" s="2">
        <v>16</v>
      </c>
      <c r="P4" s="2">
        <v>20</v>
      </c>
      <c r="Q4" s="2">
        <v>29</v>
      </c>
      <c r="R4" s="2">
        <v>20</v>
      </c>
      <c r="S4" s="2">
        <v>15</v>
      </c>
      <c r="T4" s="2">
        <v>82</v>
      </c>
      <c r="U4" s="2">
        <v>5</v>
      </c>
      <c r="V4" s="2">
        <v>13</v>
      </c>
      <c r="W4" s="2">
        <v>20</v>
      </c>
      <c r="X4" s="2">
        <v>8</v>
      </c>
      <c r="Y4" s="2">
        <v>35</v>
      </c>
      <c r="Z4" s="2">
        <v>19</v>
      </c>
      <c r="AA4" s="2">
        <v>9</v>
      </c>
      <c r="AB4" s="2">
        <v>5</v>
      </c>
      <c r="AC4" s="2">
        <v>11</v>
      </c>
      <c r="AD4" s="2">
        <v>28</v>
      </c>
      <c r="AE4" s="2">
        <v>48</v>
      </c>
      <c r="AF4" s="2">
        <v>23</v>
      </c>
      <c r="AG4" s="2">
        <v>43</v>
      </c>
      <c r="AH4" s="2">
        <v>16</v>
      </c>
      <c r="AI4" s="2">
        <v>6</v>
      </c>
      <c r="AJ4" s="2">
        <v>12</v>
      </c>
    </row>
    <row r="5" spans="1:36" x14ac:dyDescent="0.35">
      <c r="A5" t="s">
        <v>18</v>
      </c>
      <c r="B5" t="s">
        <v>103</v>
      </c>
      <c r="C5" s="2">
        <v>21</v>
      </c>
      <c r="D5" s="2">
        <v>20</v>
      </c>
      <c r="E5" s="2">
        <v>30</v>
      </c>
      <c r="F5" s="2">
        <v>29</v>
      </c>
      <c r="G5" s="2">
        <v>39</v>
      </c>
      <c r="H5" s="2">
        <v>61</v>
      </c>
      <c r="I5" s="2">
        <v>95</v>
      </c>
      <c r="J5" s="2">
        <v>0</v>
      </c>
      <c r="K5" s="2">
        <v>0</v>
      </c>
      <c r="L5" s="2">
        <v>1</v>
      </c>
      <c r="M5" s="2">
        <v>0</v>
      </c>
      <c r="N5" s="2">
        <v>4</v>
      </c>
      <c r="O5" s="2">
        <v>8</v>
      </c>
      <c r="P5" s="2">
        <v>16</v>
      </c>
      <c r="Q5" s="2">
        <v>17</v>
      </c>
      <c r="R5" s="2">
        <v>24</v>
      </c>
      <c r="S5" s="2">
        <v>35</v>
      </c>
      <c r="T5" s="2">
        <v>54</v>
      </c>
      <c r="U5" s="2">
        <v>4</v>
      </c>
      <c r="V5" s="2">
        <v>42</v>
      </c>
      <c r="W5" s="2">
        <v>25</v>
      </c>
      <c r="X5" s="2">
        <v>9</v>
      </c>
      <c r="Y5" s="2">
        <v>4</v>
      </c>
      <c r="Z5" s="2">
        <v>16</v>
      </c>
      <c r="AA5" s="2">
        <v>4</v>
      </c>
      <c r="AB5" s="2">
        <v>6</v>
      </c>
      <c r="AC5" s="2">
        <v>3</v>
      </c>
      <c r="AD5" s="2">
        <v>32</v>
      </c>
      <c r="AE5" s="2">
        <v>54</v>
      </c>
      <c r="AF5" s="2">
        <v>32</v>
      </c>
      <c r="AG5" s="2">
        <v>39</v>
      </c>
      <c r="AH5" s="2">
        <v>14</v>
      </c>
      <c r="AI5" s="2">
        <v>5</v>
      </c>
      <c r="AJ5" s="2">
        <v>10</v>
      </c>
    </row>
    <row r="6" spans="1:36" x14ac:dyDescent="0.35">
      <c r="A6" t="s">
        <v>106</v>
      </c>
      <c r="B6" t="s">
        <v>107</v>
      </c>
      <c r="C6" s="2">
        <v>40</v>
      </c>
      <c r="D6" s="2">
        <v>23</v>
      </c>
      <c r="E6" s="2">
        <v>22</v>
      </c>
      <c r="F6" s="2">
        <v>15</v>
      </c>
      <c r="G6" s="2">
        <v>42</v>
      </c>
      <c r="H6" s="2">
        <v>58</v>
      </c>
      <c r="I6" s="2">
        <v>50</v>
      </c>
      <c r="J6" s="2">
        <v>26</v>
      </c>
      <c r="K6" s="2">
        <v>10</v>
      </c>
      <c r="L6" s="2">
        <v>3</v>
      </c>
      <c r="M6" s="2">
        <v>10</v>
      </c>
      <c r="N6" s="2">
        <v>2</v>
      </c>
      <c r="O6" s="2">
        <v>8</v>
      </c>
      <c r="P6" s="2">
        <v>10</v>
      </c>
      <c r="Q6" s="2">
        <v>19</v>
      </c>
      <c r="R6" s="2">
        <v>44</v>
      </c>
      <c r="S6" s="2">
        <v>19</v>
      </c>
      <c r="T6" s="2">
        <v>68</v>
      </c>
      <c r="U6" s="2">
        <v>4</v>
      </c>
      <c r="V6" s="2">
        <v>28</v>
      </c>
      <c r="W6" s="2">
        <v>9</v>
      </c>
      <c r="X6" s="2">
        <v>13</v>
      </c>
      <c r="Y6" s="2">
        <v>28</v>
      </c>
      <c r="Z6" s="2">
        <v>18</v>
      </c>
      <c r="AA6" s="2">
        <v>2</v>
      </c>
      <c r="AB6" s="2">
        <v>2</v>
      </c>
      <c r="AC6" s="2">
        <v>1</v>
      </c>
      <c r="AD6" s="2">
        <v>4</v>
      </c>
      <c r="AE6" s="2">
        <v>90</v>
      </c>
      <c r="AF6" s="2">
        <v>2</v>
      </c>
      <c r="AG6" s="2">
        <v>4</v>
      </c>
      <c r="AH6" s="2">
        <v>0</v>
      </c>
      <c r="AI6" s="2">
        <v>0</v>
      </c>
      <c r="AJ6" s="2">
        <v>94</v>
      </c>
    </row>
    <row r="7" spans="1:36" x14ac:dyDescent="0.35">
      <c r="A7" t="s">
        <v>109</v>
      </c>
      <c r="B7" t="s">
        <v>110</v>
      </c>
      <c r="C7" s="2">
        <v>21</v>
      </c>
      <c r="D7" s="2">
        <v>27</v>
      </c>
      <c r="E7" s="2">
        <v>35</v>
      </c>
      <c r="F7" s="2">
        <v>19</v>
      </c>
      <c r="G7" s="2">
        <v>45</v>
      </c>
      <c r="H7" s="2">
        <v>55</v>
      </c>
      <c r="I7" s="2">
        <v>78</v>
      </c>
      <c r="J7" s="2">
        <v>9</v>
      </c>
      <c r="K7" s="2">
        <v>5</v>
      </c>
      <c r="L7" s="2">
        <v>2</v>
      </c>
      <c r="M7" s="2">
        <v>2</v>
      </c>
      <c r="N7" s="2">
        <v>7</v>
      </c>
      <c r="O7" s="2">
        <v>26</v>
      </c>
      <c r="P7" s="2">
        <v>28</v>
      </c>
      <c r="Q7" s="2">
        <v>21</v>
      </c>
      <c r="R7" s="2">
        <v>14</v>
      </c>
      <c r="S7" s="2">
        <v>12</v>
      </c>
      <c r="T7" s="2">
        <v>60</v>
      </c>
      <c r="U7" s="2">
        <v>8</v>
      </c>
      <c r="V7" s="2">
        <v>33</v>
      </c>
      <c r="W7" s="2">
        <v>19</v>
      </c>
      <c r="X7" s="2">
        <v>14</v>
      </c>
      <c r="Y7" s="2">
        <v>15</v>
      </c>
      <c r="Z7" s="2">
        <v>12</v>
      </c>
      <c r="AA7" s="2">
        <v>8</v>
      </c>
      <c r="AB7" s="2">
        <v>7</v>
      </c>
      <c r="AC7" s="2">
        <v>5</v>
      </c>
      <c r="AD7" s="2">
        <v>9</v>
      </c>
      <c r="AE7" s="2">
        <v>72</v>
      </c>
      <c r="AF7" s="2">
        <v>30</v>
      </c>
      <c r="AG7" s="2">
        <v>18</v>
      </c>
      <c r="AH7" s="2">
        <v>5</v>
      </c>
      <c r="AI7" s="2">
        <v>2</v>
      </c>
      <c r="AJ7" s="2">
        <v>47</v>
      </c>
    </row>
    <row r="8" spans="1:36" x14ac:dyDescent="0.35">
      <c r="A8" t="s">
        <v>111</v>
      </c>
      <c r="B8" t="s">
        <v>112</v>
      </c>
      <c r="C8" s="2">
        <v>21</v>
      </c>
      <c r="D8" s="2">
        <v>24</v>
      </c>
      <c r="E8" s="2">
        <v>38</v>
      </c>
      <c r="F8" s="2">
        <v>18</v>
      </c>
      <c r="G8" s="2">
        <v>41</v>
      </c>
      <c r="H8" s="2">
        <v>59</v>
      </c>
      <c r="I8" s="2">
        <v>77</v>
      </c>
      <c r="J8" s="2">
        <v>4</v>
      </c>
      <c r="K8" s="2">
        <v>1</v>
      </c>
      <c r="L8" s="2">
        <v>3</v>
      </c>
      <c r="M8" s="2">
        <v>6</v>
      </c>
      <c r="N8" s="2">
        <v>9</v>
      </c>
      <c r="O8" s="2">
        <v>17</v>
      </c>
      <c r="P8" s="2">
        <v>24</v>
      </c>
      <c r="Q8" s="2">
        <v>16</v>
      </c>
      <c r="R8" s="2">
        <v>23</v>
      </c>
      <c r="S8" s="2">
        <v>20</v>
      </c>
      <c r="T8" s="2">
        <v>85</v>
      </c>
      <c r="U8" s="2">
        <v>4</v>
      </c>
      <c r="V8" s="2">
        <v>11</v>
      </c>
      <c r="W8" s="2">
        <v>33</v>
      </c>
      <c r="X8" s="2">
        <v>13</v>
      </c>
      <c r="Y8" s="2">
        <v>21</v>
      </c>
      <c r="Z8" s="2">
        <v>19</v>
      </c>
      <c r="AA8" s="2">
        <v>5</v>
      </c>
      <c r="AB8" s="2">
        <v>3</v>
      </c>
      <c r="AC8" s="2">
        <v>8</v>
      </c>
      <c r="AD8" s="2">
        <v>14</v>
      </c>
      <c r="AE8" s="2">
        <v>69</v>
      </c>
      <c r="AF8" s="2">
        <v>27</v>
      </c>
      <c r="AG8" s="2">
        <v>16</v>
      </c>
      <c r="AH8" s="2">
        <v>5</v>
      </c>
      <c r="AI8" s="2">
        <v>6</v>
      </c>
      <c r="AJ8" s="2">
        <v>47</v>
      </c>
    </row>
    <row r="9" spans="1:36" x14ac:dyDescent="0.35">
      <c r="A9" t="s">
        <v>115</v>
      </c>
      <c r="B9" t="s">
        <v>116</v>
      </c>
      <c r="C9" s="2">
        <v>26</v>
      </c>
      <c r="D9" s="2">
        <v>20</v>
      </c>
      <c r="E9" s="2">
        <v>28</v>
      </c>
      <c r="F9" s="2">
        <v>26</v>
      </c>
      <c r="G9" s="2">
        <v>43</v>
      </c>
      <c r="H9" s="2">
        <v>57</v>
      </c>
      <c r="I9" s="2">
        <v>78</v>
      </c>
      <c r="J9" s="2">
        <v>6</v>
      </c>
      <c r="K9" s="2">
        <v>5</v>
      </c>
      <c r="L9" s="2">
        <v>2</v>
      </c>
      <c r="M9" s="2">
        <v>3</v>
      </c>
      <c r="N9" s="2">
        <v>6</v>
      </c>
      <c r="O9" s="2">
        <v>15</v>
      </c>
      <c r="P9" s="2">
        <v>26</v>
      </c>
      <c r="Q9" s="2">
        <v>11</v>
      </c>
      <c r="R9" s="2">
        <v>19</v>
      </c>
      <c r="S9" s="2">
        <v>29</v>
      </c>
      <c r="T9" s="2">
        <v>71</v>
      </c>
      <c r="U9" s="2">
        <v>3</v>
      </c>
      <c r="V9" s="2">
        <v>27</v>
      </c>
      <c r="W9" s="2">
        <v>23</v>
      </c>
      <c r="X9" s="2">
        <v>17</v>
      </c>
      <c r="Y9" s="2">
        <v>19</v>
      </c>
      <c r="Z9" s="2">
        <v>12</v>
      </c>
      <c r="AA9" s="2">
        <v>4</v>
      </c>
      <c r="AB9" s="2">
        <v>4</v>
      </c>
      <c r="AC9" s="2">
        <v>6</v>
      </c>
      <c r="AD9" s="2">
        <v>13</v>
      </c>
      <c r="AE9" s="2">
        <v>73</v>
      </c>
      <c r="AF9" s="2">
        <v>27</v>
      </c>
      <c r="AG9" s="2">
        <v>19</v>
      </c>
      <c r="AH9" s="2">
        <v>9</v>
      </c>
      <c r="AI9" s="2">
        <v>5</v>
      </c>
      <c r="AJ9" s="2">
        <v>40</v>
      </c>
    </row>
    <row r="10" spans="1:36" x14ac:dyDescent="0.35">
      <c r="A10" t="s">
        <v>117</v>
      </c>
      <c r="B10" t="s">
        <v>118</v>
      </c>
      <c r="C10" s="2">
        <v>25</v>
      </c>
      <c r="D10" s="2">
        <v>31</v>
      </c>
      <c r="E10" s="2">
        <v>24</v>
      </c>
      <c r="F10" s="2">
        <v>20</v>
      </c>
      <c r="G10" s="2">
        <v>38</v>
      </c>
      <c r="H10" s="2">
        <v>62</v>
      </c>
      <c r="I10" s="2">
        <v>73</v>
      </c>
      <c r="J10" s="2">
        <v>18</v>
      </c>
      <c r="K10" s="2">
        <v>3</v>
      </c>
      <c r="L10" s="2">
        <v>3</v>
      </c>
      <c r="M10" s="2">
        <v>3</v>
      </c>
      <c r="N10" s="2">
        <v>0</v>
      </c>
      <c r="O10" s="2">
        <v>7</v>
      </c>
      <c r="P10" s="2">
        <v>13</v>
      </c>
      <c r="Q10" s="2">
        <v>14</v>
      </c>
      <c r="R10" s="2">
        <v>23</v>
      </c>
      <c r="S10" s="2">
        <v>43</v>
      </c>
      <c r="T10" s="2">
        <v>88</v>
      </c>
      <c r="U10" s="2">
        <v>6</v>
      </c>
      <c r="V10" s="2">
        <v>6</v>
      </c>
      <c r="W10" s="2">
        <v>25</v>
      </c>
      <c r="X10" s="2">
        <v>19</v>
      </c>
      <c r="Y10" s="2">
        <v>25</v>
      </c>
      <c r="Z10" s="2">
        <v>19</v>
      </c>
      <c r="AA10" s="2">
        <v>1</v>
      </c>
      <c r="AB10" s="2">
        <v>1</v>
      </c>
      <c r="AC10" s="2">
        <v>1</v>
      </c>
      <c r="AD10" s="2">
        <v>0</v>
      </c>
      <c r="AE10" s="2">
        <v>97</v>
      </c>
      <c r="AF10" s="2">
        <v>36</v>
      </c>
      <c r="AG10" s="2">
        <v>17</v>
      </c>
      <c r="AH10" s="2">
        <v>6</v>
      </c>
      <c r="AI10" s="2">
        <v>1</v>
      </c>
      <c r="AJ10" s="2">
        <v>39</v>
      </c>
    </row>
    <row r="11" spans="1:36" x14ac:dyDescent="0.35">
      <c r="A11" t="s">
        <v>120</v>
      </c>
      <c r="B11" t="s">
        <v>121</v>
      </c>
      <c r="C11" s="2">
        <v>21</v>
      </c>
      <c r="D11" s="2">
        <v>21</v>
      </c>
      <c r="E11" s="2">
        <v>35</v>
      </c>
      <c r="F11" s="2">
        <v>23</v>
      </c>
      <c r="G11" s="2">
        <v>42</v>
      </c>
      <c r="H11" s="2">
        <v>58</v>
      </c>
      <c r="I11" s="2">
        <v>82</v>
      </c>
      <c r="J11" s="2">
        <v>6</v>
      </c>
      <c r="K11" s="2">
        <v>2</v>
      </c>
      <c r="L11" s="2">
        <v>1</v>
      </c>
      <c r="M11" s="2">
        <v>2</v>
      </c>
      <c r="N11" s="2">
        <v>7</v>
      </c>
      <c r="O11" s="2">
        <v>56</v>
      </c>
      <c r="P11" s="2">
        <v>25</v>
      </c>
      <c r="Q11" s="2">
        <v>12</v>
      </c>
      <c r="R11" s="2">
        <v>6</v>
      </c>
      <c r="S11" s="2">
        <v>1</v>
      </c>
      <c r="T11" s="2">
        <v>86</v>
      </c>
      <c r="U11" s="2">
        <v>5</v>
      </c>
      <c r="V11" s="2">
        <v>9</v>
      </c>
      <c r="W11" s="2">
        <v>29</v>
      </c>
      <c r="X11" s="2">
        <v>13</v>
      </c>
      <c r="Y11" s="2">
        <v>16</v>
      </c>
      <c r="Z11" s="2">
        <v>28</v>
      </c>
      <c r="AA11" s="2">
        <v>0</v>
      </c>
      <c r="AB11" s="2">
        <v>0</v>
      </c>
      <c r="AC11" s="2">
        <v>0</v>
      </c>
      <c r="AD11" s="2">
        <v>0</v>
      </c>
      <c r="AE11" s="2">
        <v>99</v>
      </c>
      <c r="AF11" s="2">
        <v>21</v>
      </c>
      <c r="AG11" s="2">
        <v>5</v>
      </c>
      <c r="AH11" s="2">
        <v>1</v>
      </c>
      <c r="AI11" s="2">
        <v>1</v>
      </c>
      <c r="AJ11" s="2">
        <v>71</v>
      </c>
    </row>
    <row r="12" spans="1:36" x14ac:dyDescent="0.35">
      <c r="A12" t="s">
        <v>503</v>
      </c>
      <c r="B12" t="s">
        <v>123</v>
      </c>
      <c r="C12" s="2">
        <v>22</v>
      </c>
      <c r="D12" s="2">
        <v>21</v>
      </c>
      <c r="E12" s="2">
        <v>31</v>
      </c>
      <c r="F12" s="2">
        <v>25</v>
      </c>
      <c r="G12" s="2">
        <v>42</v>
      </c>
      <c r="H12" s="2">
        <v>58</v>
      </c>
      <c r="I12" s="2">
        <v>90</v>
      </c>
      <c r="J12" s="2">
        <v>4</v>
      </c>
      <c r="K12" s="2">
        <v>3</v>
      </c>
      <c r="L12" s="2">
        <v>2</v>
      </c>
      <c r="M12" s="2">
        <v>1</v>
      </c>
      <c r="N12" s="2">
        <v>1</v>
      </c>
      <c r="O12" s="2">
        <v>16</v>
      </c>
      <c r="P12" s="2">
        <v>23</v>
      </c>
      <c r="Q12" s="2">
        <v>20</v>
      </c>
      <c r="R12" s="2">
        <v>12</v>
      </c>
      <c r="S12" s="2">
        <v>29</v>
      </c>
      <c r="T12" s="2">
        <v>89</v>
      </c>
      <c r="U12" s="2">
        <v>6</v>
      </c>
      <c r="V12" s="2">
        <v>5</v>
      </c>
      <c r="W12" s="2">
        <v>30</v>
      </c>
      <c r="X12" s="2">
        <v>13</v>
      </c>
      <c r="Y12" s="2">
        <v>25</v>
      </c>
      <c r="Z12" s="2">
        <v>21</v>
      </c>
      <c r="AA12" s="2">
        <v>3</v>
      </c>
      <c r="AB12" s="2">
        <v>3</v>
      </c>
      <c r="AC12" s="2">
        <v>4</v>
      </c>
      <c r="AD12" s="2">
        <v>8</v>
      </c>
      <c r="AE12" s="2">
        <v>83</v>
      </c>
      <c r="AF12" s="2">
        <v>15</v>
      </c>
      <c r="AG12" s="2">
        <v>8</v>
      </c>
      <c r="AH12" s="2">
        <v>5</v>
      </c>
      <c r="AI12" s="2">
        <v>2</v>
      </c>
      <c r="AJ12" s="2">
        <v>70</v>
      </c>
    </row>
    <row r="13" spans="1:36" x14ac:dyDescent="0.35">
      <c r="A13" t="s">
        <v>125</v>
      </c>
      <c r="B13" t="s">
        <v>126</v>
      </c>
      <c r="C13" s="2">
        <v>24</v>
      </c>
      <c r="D13" s="2">
        <v>22</v>
      </c>
      <c r="E13" s="2">
        <v>35</v>
      </c>
      <c r="F13" s="2">
        <v>20</v>
      </c>
      <c r="G13" s="2">
        <v>44</v>
      </c>
      <c r="H13" s="2">
        <v>56</v>
      </c>
      <c r="I13" s="2">
        <v>91</v>
      </c>
      <c r="J13" s="2">
        <v>2</v>
      </c>
      <c r="K13" s="2">
        <v>0</v>
      </c>
      <c r="L13" s="2">
        <v>2</v>
      </c>
      <c r="M13" s="2">
        <v>2</v>
      </c>
      <c r="N13" s="2">
        <v>3</v>
      </c>
      <c r="O13" s="2">
        <v>43</v>
      </c>
      <c r="P13" s="2">
        <v>32</v>
      </c>
      <c r="Q13" s="2">
        <v>15</v>
      </c>
      <c r="R13" s="2">
        <v>6</v>
      </c>
      <c r="S13" s="2">
        <v>4</v>
      </c>
      <c r="T13" s="2">
        <v>21</v>
      </c>
      <c r="U13" s="2">
        <v>4</v>
      </c>
      <c r="V13" s="2">
        <v>75</v>
      </c>
      <c r="W13" s="2">
        <v>0</v>
      </c>
      <c r="X13" s="2">
        <v>16</v>
      </c>
      <c r="Y13" s="2">
        <v>2</v>
      </c>
      <c r="Z13" s="2">
        <v>3</v>
      </c>
      <c r="AA13" s="2">
        <v>5</v>
      </c>
      <c r="AB13" s="2">
        <v>3</v>
      </c>
      <c r="AC13" s="2">
        <v>2</v>
      </c>
      <c r="AD13" s="2">
        <v>13</v>
      </c>
      <c r="AE13" s="2">
        <v>76</v>
      </c>
      <c r="AF13" s="2">
        <v>17</v>
      </c>
      <c r="AG13" s="2">
        <v>31</v>
      </c>
      <c r="AH13" s="2">
        <v>8</v>
      </c>
      <c r="AI13" s="2">
        <v>5</v>
      </c>
      <c r="AJ13" s="2">
        <v>40</v>
      </c>
    </row>
    <row r="14" spans="1:36" x14ac:dyDescent="0.35">
      <c r="A14" t="s">
        <v>128</v>
      </c>
      <c r="B14" t="s">
        <v>129</v>
      </c>
      <c r="C14" s="2">
        <v>27</v>
      </c>
      <c r="D14" s="2">
        <v>16</v>
      </c>
      <c r="E14" s="2">
        <v>34</v>
      </c>
      <c r="F14" s="2">
        <v>23</v>
      </c>
      <c r="G14" s="2">
        <v>43</v>
      </c>
      <c r="H14" s="2">
        <v>57</v>
      </c>
      <c r="I14" s="2">
        <v>59</v>
      </c>
      <c r="J14" s="2">
        <v>14</v>
      </c>
      <c r="K14" s="2">
        <v>3</v>
      </c>
      <c r="L14" s="2">
        <v>6</v>
      </c>
      <c r="M14" s="2">
        <v>10</v>
      </c>
      <c r="N14" s="2">
        <v>9</v>
      </c>
      <c r="O14" s="2">
        <v>12</v>
      </c>
      <c r="P14" s="2">
        <v>19</v>
      </c>
      <c r="Q14" s="2">
        <v>34</v>
      </c>
      <c r="R14" s="2">
        <v>26</v>
      </c>
      <c r="S14" s="2">
        <v>9</v>
      </c>
      <c r="T14" s="2">
        <v>81</v>
      </c>
      <c r="U14" s="2">
        <v>4</v>
      </c>
      <c r="V14" s="2">
        <v>15</v>
      </c>
      <c r="W14" s="2">
        <v>16</v>
      </c>
      <c r="X14" s="2">
        <v>16</v>
      </c>
      <c r="Y14" s="2">
        <v>26</v>
      </c>
      <c r="Z14" s="2">
        <v>23</v>
      </c>
      <c r="AA14" s="2">
        <v>3</v>
      </c>
      <c r="AB14" s="2">
        <v>5</v>
      </c>
      <c r="AC14" s="2">
        <v>10</v>
      </c>
      <c r="AD14" s="2">
        <v>20</v>
      </c>
      <c r="AE14" s="2">
        <v>63</v>
      </c>
      <c r="AF14" s="2">
        <v>36</v>
      </c>
      <c r="AG14" s="2">
        <v>15</v>
      </c>
      <c r="AH14" s="2">
        <v>7</v>
      </c>
      <c r="AI14" s="2">
        <v>5</v>
      </c>
      <c r="AJ14" s="2">
        <v>38</v>
      </c>
    </row>
    <row r="15" spans="1:36" x14ac:dyDescent="0.35">
      <c r="A15" t="s">
        <v>130</v>
      </c>
      <c r="B15" t="s">
        <v>131</v>
      </c>
      <c r="C15" s="2">
        <v>19</v>
      </c>
      <c r="D15" s="2">
        <v>19</v>
      </c>
      <c r="E15" s="2">
        <v>33</v>
      </c>
      <c r="F15" s="2">
        <v>29</v>
      </c>
      <c r="G15" s="2">
        <v>39</v>
      </c>
      <c r="H15" s="2">
        <v>61</v>
      </c>
      <c r="I15" s="2">
        <v>96</v>
      </c>
      <c r="J15" s="2">
        <v>1</v>
      </c>
      <c r="K15" s="2">
        <v>0</v>
      </c>
      <c r="L15" s="2">
        <v>2</v>
      </c>
      <c r="M15" s="2">
        <v>0</v>
      </c>
      <c r="N15" s="2">
        <v>2</v>
      </c>
      <c r="O15" s="2">
        <v>28</v>
      </c>
      <c r="P15" s="2">
        <v>14</v>
      </c>
      <c r="Q15" s="2">
        <v>22</v>
      </c>
      <c r="R15" s="2">
        <v>26</v>
      </c>
      <c r="S15" s="2">
        <v>10</v>
      </c>
      <c r="T15" s="2">
        <v>71</v>
      </c>
      <c r="U15" s="2">
        <v>6</v>
      </c>
      <c r="V15" s="2">
        <v>23</v>
      </c>
      <c r="W15" s="2">
        <v>16</v>
      </c>
      <c r="X15" s="2">
        <v>15</v>
      </c>
      <c r="Y15" s="2">
        <v>17</v>
      </c>
      <c r="Z15" s="2">
        <v>23</v>
      </c>
      <c r="AA15" s="2">
        <v>8</v>
      </c>
      <c r="AB15" s="2">
        <v>11</v>
      </c>
      <c r="AC15" s="2">
        <v>19</v>
      </c>
      <c r="AD15" s="2">
        <v>30</v>
      </c>
      <c r="AE15" s="2">
        <v>31</v>
      </c>
      <c r="AF15" s="2">
        <v>28</v>
      </c>
      <c r="AG15" s="2">
        <v>38</v>
      </c>
      <c r="AH15" s="2">
        <v>14</v>
      </c>
      <c r="AI15" s="2">
        <v>8</v>
      </c>
      <c r="AJ15" s="2">
        <v>12</v>
      </c>
    </row>
    <row r="16" spans="1:36" x14ac:dyDescent="0.35">
      <c r="A16" t="s">
        <v>468</v>
      </c>
      <c r="B16" t="s">
        <v>276</v>
      </c>
      <c r="C16" s="2">
        <v>25</v>
      </c>
      <c r="D16" s="2">
        <v>25</v>
      </c>
      <c r="E16" s="2">
        <v>38</v>
      </c>
      <c r="F16" s="2">
        <v>12</v>
      </c>
      <c r="G16" s="2">
        <v>53</v>
      </c>
      <c r="H16" s="2">
        <v>47</v>
      </c>
      <c r="I16" s="2">
        <v>67</v>
      </c>
      <c r="J16" s="2">
        <v>7</v>
      </c>
      <c r="K16" s="2">
        <v>12</v>
      </c>
      <c r="L16" s="2">
        <v>4</v>
      </c>
      <c r="M16" s="2">
        <v>0</v>
      </c>
      <c r="N16" s="2">
        <v>10</v>
      </c>
      <c r="O16" s="2">
        <v>22</v>
      </c>
      <c r="P16" s="2">
        <v>22</v>
      </c>
      <c r="Q16" s="2">
        <v>26</v>
      </c>
      <c r="R16" s="2">
        <v>9</v>
      </c>
      <c r="S16" s="2">
        <v>21</v>
      </c>
      <c r="T16" s="2">
        <v>26</v>
      </c>
      <c r="U16" s="2">
        <v>16</v>
      </c>
      <c r="V16" s="2">
        <v>58</v>
      </c>
      <c r="W16" s="2"/>
      <c r="X16" s="2">
        <v>15</v>
      </c>
      <c r="Y16" s="2">
        <v>9</v>
      </c>
      <c r="Z16" s="2">
        <v>2</v>
      </c>
      <c r="AA16" s="2">
        <v>2</v>
      </c>
      <c r="AB16" s="2">
        <v>0</v>
      </c>
      <c r="AC16" s="2">
        <v>1</v>
      </c>
      <c r="AD16" s="2">
        <v>5</v>
      </c>
      <c r="AE16" s="2">
        <v>91</v>
      </c>
      <c r="AF16" s="2">
        <v>1</v>
      </c>
      <c r="AG16" s="2">
        <v>0</v>
      </c>
      <c r="AH16" s="2">
        <v>0</v>
      </c>
      <c r="AI16" s="2">
        <v>0</v>
      </c>
      <c r="AJ16" s="2">
        <v>99</v>
      </c>
    </row>
    <row r="17" spans="1:36" x14ac:dyDescent="0.35">
      <c r="A17" t="s">
        <v>473</v>
      </c>
      <c r="B17" t="s">
        <v>277</v>
      </c>
      <c r="C17" s="2">
        <v>28</v>
      </c>
      <c r="D17" s="2">
        <v>28</v>
      </c>
      <c r="E17" s="2">
        <v>25</v>
      </c>
      <c r="F17" s="2">
        <v>19</v>
      </c>
      <c r="G17" s="2">
        <v>42</v>
      </c>
      <c r="H17" s="2">
        <v>58</v>
      </c>
      <c r="I17" s="2">
        <v>83</v>
      </c>
      <c r="J17" s="2">
        <v>3</v>
      </c>
      <c r="K17" s="2">
        <v>1</v>
      </c>
      <c r="L17" s="2">
        <v>4</v>
      </c>
      <c r="M17" s="2">
        <v>3</v>
      </c>
      <c r="N17" s="2">
        <v>5</v>
      </c>
      <c r="O17" s="2">
        <v>7</v>
      </c>
      <c r="P17" s="2">
        <v>19</v>
      </c>
      <c r="Q17" s="2">
        <v>11</v>
      </c>
      <c r="R17" s="2">
        <v>17</v>
      </c>
      <c r="S17" s="2">
        <v>47</v>
      </c>
      <c r="T17" s="2">
        <v>84</v>
      </c>
      <c r="U17" s="2">
        <v>7</v>
      </c>
      <c r="V17" s="2">
        <v>9</v>
      </c>
      <c r="W17" s="2">
        <v>9</v>
      </c>
      <c r="X17" s="2">
        <v>18</v>
      </c>
      <c r="Y17" s="2">
        <v>40</v>
      </c>
      <c r="Z17" s="2">
        <v>16</v>
      </c>
      <c r="AA17" s="2">
        <v>8</v>
      </c>
      <c r="AB17" s="2">
        <v>8</v>
      </c>
      <c r="AC17" s="2">
        <v>7</v>
      </c>
      <c r="AD17" s="2">
        <v>22</v>
      </c>
      <c r="AE17" s="2">
        <v>56</v>
      </c>
      <c r="AF17" s="2">
        <v>34</v>
      </c>
      <c r="AG17" s="2">
        <v>24</v>
      </c>
      <c r="AH17" s="2">
        <v>9</v>
      </c>
      <c r="AI17" s="2">
        <v>4</v>
      </c>
      <c r="AJ17" s="2">
        <v>29</v>
      </c>
    </row>
    <row r="18" spans="1:36" x14ac:dyDescent="0.35">
      <c r="A18" t="s">
        <v>481</v>
      </c>
      <c r="B18" t="s">
        <v>132</v>
      </c>
      <c r="C18" s="2">
        <v>25</v>
      </c>
      <c r="D18" s="2">
        <v>24</v>
      </c>
      <c r="E18" s="2">
        <v>30</v>
      </c>
      <c r="F18" s="2">
        <v>21</v>
      </c>
      <c r="G18" s="2">
        <v>52</v>
      </c>
      <c r="H18" s="2">
        <v>48</v>
      </c>
      <c r="I18" s="2">
        <v>87</v>
      </c>
      <c r="J18" s="2">
        <v>2</v>
      </c>
      <c r="K18" s="2">
        <v>1</v>
      </c>
      <c r="L18" s="2">
        <v>4</v>
      </c>
      <c r="M18" s="2">
        <v>3</v>
      </c>
      <c r="N18" s="2">
        <v>4</v>
      </c>
      <c r="O18" s="2">
        <v>30</v>
      </c>
      <c r="P18" s="2">
        <v>31</v>
      </c>
      <c r="Q18" s="2">
        <v>13</v>
      </c>
      <c r="R18" s="2">
        <v>14</v>
      </c>
      <c r="S18" s="2">
        <v>12</v>
      </c>
      <c r="T18" s="2">
        <v>80</v>
      </c>
      <c r="U18" s="2">
        <v>8</v>
      </c>
      <c r="V18" s="2">
        <v>12</v>
      </c>
      <c r="W18" s="2">
        <v>26</v>
      </c>
      <c r="X18" s="2">
        <v>15</v>
      </c>
      <c r="Y18" s="2">
        <v>21</v>
      </c>
      <c r="Z18" s="2">
        <v>18</v>
      </c>
      <c r="AA18" s="2">
        <v>7</v>
      </c>
      <c r="AB18" s="2">
        <v>3</v>
      </c>
      <c r="AC18" s="2">
        <v>13</v>
      </c>
      <c r="AD18" s="2">
        <v>22</v>
      </c>
      <c r="AE18" s="2">
        <v>56</v>
      </c>
      <c r="AF18" s="2">
        <v>73</v>
      </c>
      <c r="AG18" s="2">
        <v>8</v>
      </c>
      <c r="AH18" s="2">
        <v>3</v>
      </c>
      <c r="AI18" s="2">
        <v>3</v>
      </c>
      <c r="AJ18" s="2">
        <v>13</v>
      </c>
    </row>
    <row r="19" spans="1:36" x14ac:dyDescent="0.35">
      <c r="A19" t="s">
        <v>134</v>
      </c>
      <c r="B19" t="s">
        <v>135</v>
      </c>
      <c r="C19" s="2">
        <v>22</v>
      </c>
      <c r="D19" s="2">
        <v>23</v>
      </c>
      <c r="E19" s="2">
        <v>33</v>
      </c>
      <c r="F19" s="2">
        <v>22</v>
      </c>
      <c r="G19" s="2">
        <v>48</v>
      </c>
      <c r="H19" s="2">
        <v>52</v>
      </c>
      <c r="I19" s="2">
        <v>90</v>
      </c>
      <c r="J19" s="2">
        <v>1</v>
      </c>
      <c r="K19" s="2">
        <v>0</v>
      </c>
      <c r="L19" s="2">
        <v>1</v>
      </c>
      <c r="M19" s="2">
        <v>2</v>
      </c>
      <c r="N19" s="2">
        <v>4</v>
      </c>
      <c r="O19" s="2">
        <v>19</v>
      </c>
      <c r="P19" s="2">
        <v>16</v>
      </c>
      <c r="Q19" s="2">
        <v>14</v>
      </c>
      <c r="R19" s="2">
        <v>27</v>
      </c>
      <c r="S19" s="2">
        <v>25</v>
      </c>
      <c r="T19" s="2">
        <v>85</v>
      </c>
      <c r="U19" s="2">
        <v>5</v>
      </c>
      <c r="V19" s="2">
        <v>9</v>
      </c>
      <c r="W19" s="2">
        <v>31</v>
      </c>
      <c r="X19" s="2">
        <v>8</v>
      </c>
      <c r="Y19" s="2">
        <v>29</v>
      </c>
      <c r="Z19" s="2">
        <v>17</v>
      </c>
      <c r="AA19" s="2">
        <v>7</v>
      </c>
      <c r="AB19" s="2">
        <v>5</v>
      </c>
      <c r="AC19" s="2">
        <v>7</v>
      </c>
      <c r="AD19" s="2">
        <v>19</v>
      </c>
      <c r="AE19" s="2">
        <v>62</v>
      </c>
      <c r="AF19" s="2">
        <v>42</v>
      </c>
      <c r="AG19" s="2">
        <v>16</v>
      </c>
      <c r="AH19" s="2">
        <v>8</v>
      </c>
      <c r="AI19" s="2">
        <v>4</v>
      </c>
      <c r="AJ19" s="2">
        <v>29</v>
      </c>
    </row>
    <row r="20" spans="1:36" x14ac:dyDescent="0.35">
      <c r="A20" t="s">
        <v>136</v>
      </c>
      <c r="B20" t="s">
        <v>137</v>
      </c>
      <c r="C20" s="2">
        <v>30</v>
      </c>
      <c r="D20" s="2">
        <v>18</v>
      </c>
      <c r="E20" s="2">
        <v>30</v>
      </c>
      <c r="F20" s="2">
        <v>21</v>
      </c>
      <c r="G20" s="2">
        <v>46</v>
      </c>
      <c r="H20" s="2">
        <v>54</v>
      </c>
      <c r="I20" s="2">
        <v>74</v>
      </c>
      <c r="J20" s="2">
        <v>6</v>
      </c>
      <c r="K20" s="2">
        <v>12</v>
      </c>
      <c r="L20" s="2">
        <v>2</v>
      </c>
      <c r="M20" s="2">
        <v>3</v>
      </c>
      <c r="N20" s="2">
        <v>3</v>
      </c>
      <c r="O20" s="2">
        <v>23</v>
      </c>
      <c r="P20" s="2">
        <v>16</v>
      </c>
      <c r="Q20" s="2">
        <v>24</v>
      </c>
      <c r="R20" s="2">
        <v>26</v>
      </c>
      <c r="S20" s="2">
        <v>10</v>
      </c>
      <c r="T20" s="2">
        <v>69</v>
      </c>
      <c r="U20" s="2">
        <v>10</v>
      </c>
      <c r="V20" s="2">
        <v>21</v>
      </c>
      <c r="W20" s="2">
        <v>11</v>
      </c>
      <c r="X20" s="2">
        <v>14</v>
      </c>
      <c r="Y20" s="2">
        <v>25</v>
      </c>
      <c r="Z20" s="2">
        <v>18</v>
      </c>
      <c r="AA20" s="2">
        <v>8</v>
      </c>
      <c r="AB20" s="2">
        <v>6</v>
      </c>
      <c r="AC20" s="2">
        <v>6</v>
      </c>
      <c r="AD20" s="2">
        <v>29</v>
      </c>
      <c r="AE20" s="2">
        <v>51</v>
      </c>
      <c r="AF20" s="2">
        <v>12</v>
      </c>
      <c r="AG20" s="2">
        <v>8</v>
      </c>
      <c r="AH20" s="2">
        <v>2</v>
      </c>
      <c r="AI20" s="2">
        <v>2</v>
      </c>
      <c r="AJ20" s="2">
        <v>76</v>
      </c>
    </row>
    <row r="21" spans="1:36" x14ac:dyDescent="0.35">
      <c r="A21" t="s">
        <v>138</v>
      </c>
      <c r="B21" t="s">
        <v>139</v>
      </c>
      <c r="C21" s="2">
        <v>24</v>
      </c>
      <c r="D21" s="2">
        <v>18</v>
      </c>
      <c r="E21" s="2">
        <v>35</v>
      </c>
      <c r="F21" s="2">
        <v>24</v>
      </c>
      <c r="G21" s="2">
        <v>44</v>
      </c>
      <c r="H21" s="2">
        <v>56</v>
      </c>
      <c r="I21" s="2">
        <v>85</v>
      </c>
      <c r="J21" s="2">
        <v>2</v>
      </c>
      <c r="K21" s="2">
        <v>2</v>
      </c>
      <c r="L21" s="2">
        <v>2</v>
      </c>
      <c r="M21" s="2">
        <v>3</v>
      </c>
      <c r="N21" s="2">
        <v>6</v>
      </c>
      <c r="O21" s="2">
        <v>21</v>
      </c>
      <c r="P21" s="2">
        <v>30</v>
      </c>
      <c r="Q21" s="2">
        <v>25</v>
      </c>
      <c r="R21" s="2">
        <v>17</v>
      </c>
      <c r="S21" s="2">
        <v>7</v>
      </c>
      <c r="T21" s="2">
        <v>86</v>
      </c>
      <c r="U21" s="2">
        <v>2</v>
      </c>
      <c r="V21" s="2">
        <v>12</v>
      </c>
      <c r="W21" s="2">
        <v>34</v>
      </c>
      <c r="X21" s="2">
        <v>7</v>
      </c>
      <c r="Y21" s="2">
        <v>24</v>
      </c>
      <c r="Z21" s="2">
        <v>22</v>
      </c>
      <c r="AA21" s="2">
        <v>2</v>
      </c>
      <c r="AB21" s="2">
        <v>1</v>
      </c>
      <c r="AC21" s="2">
        <v>5</v>
      </c>
      <c r="AD21" s="2">
        <v>5</v>
      </c>
      <c r="AE21" s="2">
        <v>88</v>
      </c>
      <c r="AF21" s="2">
        <v>75</v>
      </c>
      <c r="AG21" s="2">
        <v>17</v>
      </c>
      <c r="AH21" s="2">
        <v>3</v>
      </c>
      <c r="AI21" s="2">
        <v>2</v>
      </c>
      <c r="AJ21" s="2">
        <v>3</v>
      </c>
    </row>
    <row r="22" spans="1:36" x14ac:dyDescent="0.35">
      <c r="A22" t="s">
        <v>140</v>
      </c>
      <c r="B22" t="s">
        <v>141</v>
      </c>
      <c r="C22" s="2">
        <v>23</v>
      </c>
      <c r="D22" s="2">
        <v>20</v>
      </c>
      <c r="E22" s="2">
        <v>36</v>
      </c>
      <c r="F22" s="2">
        <v>21</v>
      </c>
      <c r="G22" s="2">
        <v>37</v>
      </c>
      <c r="H22" s="2">
        <v>63</v>
      </c>
      <c r="I22" s="2">
        <v>92</v>
      </c>
      <c r="J22" s="2">
        <v>1</v>
      </c>
      <c r="K22" s="2">
        <v>0</v>
      </c>
      <c r="L22" s="2">
        <v>2</v>
      </c>
      <c r="M22" s="2">
        <v>1</v>
      </c>
      <c r="N22" s="2">
        <v>4</v>
      </c>
      <c r="O22" s="2">
        <v>4</v>
      </c>
      <c r="P22" s="2">
        <v>24</v>
      </c>
      <c r="Q22" s="2">
        <v>22</v>
      </c>
      <c r="R22" s="2">
        <v>17</v>
      </c>
      <c r="S22" s="2">
        <v>33</v>
      </c>
      <c r="T22" s="2">
        <v>41</v>
      </c>
      <c r="U22" s="2">
        <v>5</v>
      </c>
      <c r="V22" s="2">
        <v>54</v>
      </c>
      <c r="W22" s="2">
        <v>6</v>
      </c>
      <c r="X22" s="2">
        <v>22</v>
      </c>
      <c r="Y22" s="2">
        <v>9</v>
      </c>
      <c r="Z22" s="2">
        <v>5</v>
      </c>
      <c r="AA22" s="2">
        <v>4</v>
      </c>
      <c r="AB22" s="2">
        <v>3</v>
      </c>
      <c r="AC22" s="2">
        <v>7</v>
      </c>
      <c r="AD22" s="2">
        <v>9</v>
      </c>
      <c r="AE22" s="2">
        <v>77</v>
      </c>
      <c r="AF22" s="2">
        <v>23</v>
      </c>
      <c r="AG22" s="2">
        <v>19</v>
      </c>
      <c r="AH22" s="2">
        <v>12</v>
      </c>
      <c r="AI22" s="2">
        <v>2</v>
      </c>
      <c r="AJ22" s="2">
        <v>44</v>
      </c>
    </row>
    <row r="23" spans="1:36" x14ac:dyDescent="0.35">
      <c r="A23" t="s">
        <v>143</v>
      </c>
      <c r="B23" t="s">
        <v>144</v>
      </c>
      <c r="C23" s="2">
        <v>22</v>
      </c>
      <c r="D23" s="2">
        <v>20</v>
      </c>
      <c r="E23" s="2">
        <v>33</v>
      </c>
      <c r="F23" s="2">
        <v>24</v>
      </c>
      <c r="G23" s="2">
        <v>40</v>
      </c>
      <c r="H23" s="2">
        <v>60</v>
      </c>
      <c r="I23" s="2">
        <v>89</v>
      </c>
      <c r="J23" s="2">
        <v>1</v>
      </c>
      <c r="K23" s="2">
        <v>1</v>
      </c>
      <c r="L23" s="2">
        <v>1</v>
      </c>
      <c r="M23" s="2">
        <v>0</v>
      </c>
      <c r="N23" s="2">
        <v>9</v>
      </c>
      <c r="O23" s="2">
        <v>5</v>
      </c>
      <c r="P23" s="2">
        <v>28</v>
      </c>
      <c r="Q23" s="2">
        <v>39</v>
      </c>
      <c r="R23" s="2">
        <v>21</v>
      </c>
      <c r="S23" s="2">
        <v>6</v>
      </c>
      <c r="T23" s="2">
        <v>89</v>
      </c>
      <c r="U23" s="2">
        <v>1</v>
      </c>
      <c r="V23" s="2">
        <v>10</v>
      </c>
      <c r="W23" s="2">
        <v>33</v>
      </c>
      <c r="X23" s="2">
        <v>17</v>
      </c>
      <c r="Y23" s="2">
        <v>27</v>
      </c>
      <c r="Z23" s="2">
        <v>14</v>
      </c>
      <c r="AA23" s="2">
        <v>3</v>
      </c>
      <c r="AB23" s="2">
        <v>4</v>
      </c>
      <c r="AC23" s="2">
        <v>2</v>
      </c>
      <c r="AD23" s="2">
        <v>5</v>
      </c>
      <c r="AE23" s="2">
        <v>86</v>
      </c>
      <c r="AF23" s="2">
        <v>42</v>
      </c>
      <c r="AG23" s="2">
        <v>20</v>
      </c>
      <c r="AH23" s="2">
        <v>11</v>
      </c>
      <c r="AI23" s="2">
        <v>2</v>
      </c>
      <c r="AJ23" s="2">
        <v>26</v>
      </c>
    </row>
    <row r="24" spans="1:36" x14ac:dyDescent="0.35">
      <c r="A24" t="s">
        <v>487</v>
      </c>
      <c r="B24" t="s">
        <v>278</v>
      </c>
      <c r="C24" s="2">
        <v>29</v>
      </c>
      <c r="D24" s="2">
        <v>14</v>
      </c>
      <c r="E24" s="2">
        <v>33</v>
      </c>
      <c r="F24" s="2">
        <v>25</v>
      </c>
      <c r="G24" s="2">
        <v>48</v>
      </c>
      <c r="H24" s="2">
        <v>52</v>
      </c>
      <c r="I24" s="2">
        <v>83</v>
      </c>
      <c r="J24" s="2">
        <v>3</v>
      </c>
      <c r="K24" s="2">
        <v>1</v>
      </c>
      <c r="L24" s="2">
        <v>2</v>
      </c>
      <c r="M24" s="2">
        <v>4</v>
      </c>
      <c r="N24" s="2">
        <v>7</v>
      </c>
      <c r="O24" s="2">
        <v>21</v>
      </c>
      <c r="P24" s="2">
        <v>29</v>
      </c>
      <c r="Q24" s="2">
        <v>9</v>
      </c>
      <c r="R24" s="2">
        <v>23</v>
      </c>
      <c r="S24" s="2">
        <v>18</v>
      </c>
      <c r="T24" s="2">
        <v>91</v>
      </c>
      <c r="U24" s="2">
        <v>4</v>
      </c>
      <c r="V24" s="2">
        <v>5</v>
      </c>
      <c r="W24" s="2">
        <v>15</v>
      </c>
      <c r="X24" s="2">
        <v>13</v>
      </c>
      <c r="Y24" s="2">
        <v>22</v>
      </c>
      <c r="Z24" s="2">
        <v>40</v>
      </c>
      <c r="AA24" s="2">
        <v>6</v>
      </c>
      <c r="AB24" s="2">
        <v>4</v>
      </c>
      <c r="AC24" s="2">
        <v>11</v>
      </c>
      <c r="AD24" s="2">
        <v>13</v>
      </c>
      <c r="AE24" s="2">
        <v>66</v>
      </c>
      <c r="AF24" s="2">
        <v>16</v>
      </c>
      <c r="AG24" s="2">
        <v>11</v>
      </c>
      <c r="AH24" s="2">
        <v>4</v>
      </c>
      <c r="AI24" s="2">
        <v>5</v>
      </c>
      <c r="AJ24" s="2">
        <v>64</v>
      </c>
    </row>
    <row r="25" spans="1:36" x14ac:dyDescent="0.35">
      <c r="A25" t="s">
        <v>146</v>
      </c>
      <c r="B25" t="s">
        <v>147</v>
      </c>
      <c r="C25" s="2">
        <v>19</v>
      </c>
      <c r="D25" s="2">
        <v>22</v>
      </c>
      <c r="E25" s="2">
        <v>35</v>
      </c>
      <c r="F25" s="2">
        <v>24</v>
      </c>
      <c r="G25" s="2">
        <v>44</v>
      </c>
      <c r="H25" s="2">
        <v>56</v>
      </c>
      <c r="I25" s="2">
        <v>90</v>
      </c>
      <c r="J25" s="2">
        <v>3</v>
      </c>
      <c r="K25" s="2">
        <v>0</v>
      </c>
      <c r="L25" s="2">
        <v>0</v>
      </c>
      <c r="M25" s="2">
        <v>4</v>
      </c>
      <c r="N25" s="2">
        <v>3</v>
      </c>
      <c r="O25" s="2">
        <v>33</v>
      </c>
      <c r="P25" s="2">
        <v>29</v>
      </c>
      <c r="Q25" s="2">
        <v>22</v>
      </c>
      <c r="R25" s="2">
        <v>11</v>
      </c>
      <c r="S25" s="2">
        <v>5</v>
      </c>
      <c r="T25" s="2">
        <v>30</v>
      </c>
      <c r="U25" s="2">
        <v>1</v>
      </c>
      <c r="V25" s="2">
        <v>69</v>
      </c>
      <c r="W25" s="2">
        <v>2</v>
      </c>
      <c r="X25" s="2">
        <v>18</v>
      </c>
      <c r="Y25" s="2">
        <v>2</v>
      </c>
      <c r="Z25" s="2">
        <v>9</v>
      </c>
      <c r="AA25" s="2">
        <v>0</v>
      </c>
      <c r="AB25" s="2">
        <v>1</v>
      </c>
      <c r="AC25" s="2">
        <v>0</v>
      </c>
      <c r="AD25" s="2">
        <v>0</v>
      </c>
      <c r="AE25" s="2">
        <v>99</v>
      </c>
      <c r="AF25" s="2">
        <v>53</v>
      </c>
      <c r="AG25" s="2">
        <v>5</v>
      </c>
      <c r="AH25" s="2">
        <v>1</v>
      </c>
      <c r="AI25" s="2">
        <v>1</v>
      </c>
      <c r="AJ25" s="2">
        <v>41</v>
      </c>
    </row>
    <row r="26" spans="1:36" x14ac:dyDescent="0.35">
      <c r="A26" t="s">
        <v>148</v>
      </c>
      <c r="B26" t="s">
        <v>149</v>
      </c>
      <c r="C26" s="2">
        <v>24</v>
      </c>
      <c r="D26" s="2">
        <v>12</v>
      </c>
      <c r="E26" s="2">
        <v>44</v>
      </c>
      <c r="F26" s="2">
        <v>20</v>
      </c>
      <c r="G26" s="2">
        <v>60</v>
      </c>
      <c r="H26" s="2">
        <v>40</v>
      </c>
      <c r="I26" s="2">
        <v>84</v>
      </c>
      <c r="J26" s="2">
        <v>8</v>
      </c>
      <c r="K26" s="2">
        <v>4</v>
      </c>
      <c r="L26" s="2">
        <v>0</v>
      </c>
      <c r="M26" s="2">
        <v>4</v>
      </c>
      <c r="N26" s="2">
        <v>0</v>
      </c>
      <c r="O26" s="2">
        <v>52</v>
      </c>
      <c r="P26" s="2">
        <v>16</v>
      </c>
      <c r="Q26" s="2">
        <v>16</v>
      </c>
      <c r="R26" s="2">
        <v>12</v>
      </c>
      <c r="S26" s="2">
        <v>4</v>
      </c>
      <c r="T26" s="2">
        <v>72</v>
      </c>
      <c r="U26" s="2">
        <v>4</v>
      </c>
      <c r="V26" s="2">
        <v>24</v>
      </c>
      <c r="W26" s="2">
        <v>8</v>
      </c>
      <c r="X26" s="2">
        <v>20</v>
      </c>
      <c r="Y26" s="2">
        <v>8</v>
      </c>
      <c r="Z26" s="2">
        <v>36</v>
      </c>
      <c r="AA26" s="2">
        <v>0</v>
      </c>
      <c r="AB26" s="2">
        <v>0</v>
      </c>
      <c r="AC26" s="2">
        <v>0</v>
      </c>
      <c r="AD26" s="2">
        <v>0</v>
      </c>
      <c r="AE26" s="2">
        <v>100</v>
      </c>
      <c r="AF26" s="2">
        <v>0</v>
      </c>
      <c r="AG26" s="2">
        <v>0</v>
      </c>
      <c r="AH26" s="2">
        <v>0</v>
      </c>
      <c r="AI26" s="2">
        <v>0</v>
      </c>
      <c r="AJ26" s="2">
        <v>100</v>
      </c>
    </row>
    <row r="27" spans="1:36" x14ac:dyDescent="0.35">
      <c r="A27" t="s">
        <v>151</v>
      </c>
      <c r="B27" t="s">
        <v>152</v>
      </c>
      <c r="C27" s="2">
        <v>19</v>
      </c>
      <c r="D27" s="2">
        <v>20</v>
      </c>
      <c r="E27" s="2">
        <v>40</v>
      </c>
      <c r="F27" s="2">
        <v>21</v>
      </c>
      <c r="G27" s="2">
        <v>42</v>
      </c>
      <c r="H27" s="2">
        <v>58</v>
      </c>
      <c r="I27" s="2">
        <v>84</v>
      </c>
      <c r="J27" s="2">
        <v>3</v>
      </c>
      <c r="K27" s="2">
        <v>2</v>
      </c>
      <c r="L27" s="2">
        <v>3</v>
      </c>
      <c r="M27" s="2">
        <v>2</v>
      </c>
      <c r="N27" s="2">
        <v>7</v>
      </c>
      <c r="O27" s="2">
        <v>10</v>
      </c>
      <c r="P27" s="2">
        <v>27</v>
      </c>
      <c r="Q27" s="2">
        <v>28</v>
      </c>
      <c r="R27" s="2">
        <v>18</v>
      </c>
      <c r="S27" s="2">
        <v>17</v>
      </c>
      <c r="T27" s="2">
        <v>68</v>
      </c>
      <c r="U27" s="2">
        <v>5</v>
      </c>
      <c r="V27" s="2">
        <v>27</v>
      </c>
      <c r="W27" s="2">
        <v>20</v>
      </c>
      <c r="X27" s="2">
        <v>14</v>
      </c>
      <c r="Y27" s="2">
        <v>19</v>
      </c>
      <c r="Z27" s="2">
        <v>15</v>
      </c>
      <c r="AA27" s="2">
        <v>7</v>
      </c>
      <c r="AB27" s="2">
        <v>3</v>
      </c>
      <c r="AC27" s="2">
        <v>7</v>
      </c>
      <c r="AD27" s="2">
        <v>17</v>
      </c>
      <c r="AE27" s="2">
        <v>66</v>
      </c>
      <c r="AF27" s="2">
        <v>42</v>
      </c>
      <c r="AG27" s="2">
        <v>29</v>
      </c>
      <c r="AH27" s="2">
        <v>7</v>
      </c>
      <c r="AI27" s="2">
        <v>5</v>
      </c>
      <c r="AJ27" s="2">
        <v>16</v>
      </c>
    </row>
    <row r="28" spans="1:36" x14ac:dyDescent="0.35">
      <c r="A28" t="s">
        <v>153</v>
      </c>
      <c r="B28" t="s">
        <v>154</v>
      </c>
      <c r="C28" s="2">
        <v>18</v>
      </c>
      <c r="D28" s="2">
        <v>25</v>
      </c>
      <c r="E28" s="2">
        <v>34</v>
      </c>
      <c r="F28" s="2">
        <v>23</v>
      </c>
      <c r="G28" s="2">
        <v>41</v>
      </c>
      <c r="H28" s="2">
        <v>59</v>
      </c>
      <c r="I28" s="2">
        <v>87</v>
      </c>
      <c r="J28" s="2">
        <v>5</v>
      </c>
      <c r="K28" s="2">
        <v>1</v>
      </c>
      <c r="L28" s="2">
        <v>1</v>
      </c>
      <c r="M28" s="2">
        <v>2</v>
      </c>
      <c r="N28" s="2">
        <v>4</v>
      </c>
      <c r="O28" s="2">
        <v>10</v>
      </c>
      <c r="P28" s="2">
        <v>26</v>
      </c>
      <c r="Q28" s="2">
        <v>13</v>
      </c>
      <c r="R28" s="2">
        <v>19</v>
      </c>
      <c r="S28" s="2">
        <v>32</v>
      </c>
      <c r="T28" s="2">
        <v>88</v>
      </c>
      <c r="U28" s="2">
        <v>2</v>
      </c>
      <c r="V28" s="2">
        <v>10</v>
      </c>
      <c r="W28" s="2">
        <v>29</v>
      </c>
      <c r="X28" s="2">
        <v>17</v>
      </c>
      <c r="Y28" s="2">
        <v>22</v>
      </c>
      <c r="Z28" s="2">
        <v>19</v>
      </c>
      <c r="AA28" s="2">
        <v>15</v>
      </c>
      <c r="AB28" s="2">
        <v>7</v>
      </c>
      <c r="AC28" s="2">
        <v>16</v>
      </c>
      <c r="AD28" s="2">
        <v>20</v>
      </c>
      <c r="AE28" s="2">
        <v>42</v>
      </c>
      <c r="AF28" s="2">
        <v>28</v>
      </c>
      <c r="AG28" s="2">
        <v>20</v>
      </c>
      <c r="AH28" s="2">
        <v>6</v>
      </c>
      <c r="AI28" s="2">
        <v>5</v>
      </c>
      <c r="AJ28" s="2">
        <v>40</v>
      </c>
    </row>
    <row r="29" spans="1:36" x14ac:dyDescent="0.35">
      <c r="A29" t="s">
        <v>156</v>
      </c>
      <c r="B29" t="s">
        <v>157</v>
      </c>
      <c r="C29" s="2">
        <v>19</v>
      </c>
      <c r="D29" s="2">
        <v>25</v>
      </c>
      <c r="E29" s="2">
        <v>31</v>
      </c>
      <c r="F29" s="2">
        <v>25</v>
      </c>
      <c r="G29" s="2">
        <v>41</v>
      </c>
      <c r="H29" s="2">
        <v>59</v>
      </c>
      <c r="I29" s="2">
        <v>85</v>
      </c>
      <c r="J29" s="2">
        <v>2</v>
      </c>
      <c r="K29" s="2">
        <v>1</v>
      </c>
      <c r="L29" s="2">
        <v>3</v>
      </c>
      <c r="M29" s="2">
        <v>1</v>
      </c>
      <c r="N29" s="2">
        <v>8</v>
      </c>
      <c r="O29" s="2">
        <v>23</v>
      </c>
      <c r="P29" s="2">
        <v>23</v>
      </c>
      <c r="Q29" s="2">
        <v>26</v>
      </c>
      <c r="R29" s="2">
        <v>15</v>
      </c>
      <c r="S29" s="2">
        <v>13</v>
      </c>
      <c r="T29" s="2">
        <v>81</v>
      </c>
      <c r="U29" s="2">
        <v>7</v>
      </c>
      <c r="V29" s="2">
        <v>12</v>
      </c>
      <c r="W29" s="2">
        <v>19</v>
      </c>
      <c r="X29" s="2">
        <v>11</v>
      </c>
      <c r="Y29" s="2">
        <v>24</v>
      </c>
      <c r="Z29" s="2">
        <v>27</v>
      </c>
      <c r="AA29" s="2">
        <v>3</v>
      </c>
      <c r="AB29" s="2">
        <v>2</v>
      </c>
      <c r="AC29" s="2">
        <v>8</v>
      </c>
      <c r="AD29" s="2">
        <v>12</v>
      </c>
      <c r="AE29" s="2">
        <v>75</v>
      </c>
      <c r="AF29" s="2">
        <v>27</v>
      </c>
      <c r="AG29" s="2">
        <v>38</v>
      </c>
      <c r="AH29" s="2">
        <v>10</v>
      </c>
      <c r="AI29" s="2">
        <v>7</v>
      </c>
      <c r="AJ29" s="2">
        <v>18</v>
      </c>
    </row>
    <row r="30" spans="1:36" x14ac:dyDescent="0.35">
      <c r="A30" t="s">
        <v>158</v>
      </c>
      <c r="B30" t="s">
        <v>159</v>
      </c>
      <c r="C30" s="2">
        <v>15</v>
      </c>
      <c r="D30" s="2">
        <v>21</v>
      </c>
      <c r="E30" s="2">
        <v>34</v>
      </c>
      <c r="F30" s="2">
        <v>31</v>
      </c>
      <c r="G30" s="2">
        <v>42</v>
      </c>
      <c r="H30" s="2">
        <v>58</v>
      </c>
      <c r="I30" s="2">
        <v>75</v>
      </c>
      <c r="J30" s="2">
        <v>4</v>
      </c>
      <c r="K30" s="2">
        <v>3</v>
      </c>
      <c r="L30" s="2">
        <v>4</v>
      </c>
      <c r="M30" s="2">
        <v>6</v>
      </c>
      <c r="N30" s="2">
        <v>8</v>
      </c>
      <c r="O30" s="2">
        <v>15</v>
      </c>
      <c r="P30" s="2">
        <v>24</v>
      </c>
      <c r="Q30" s="2">
        <v>31</v>
      </c>
      <c r="R30" s="2">
        <v>18</v>
      </c>
      <c r="S30" s="2">
        <v>12</v>
      </c>
      <c r="T30" s="2">
        <v>76</v>
      </c>
      <c r="U30" s="2">
        <v>4</v>
      </c>
      <c r="V30" s="2">
        <v>19</v>
      </c>
      <c r="W30" s="2">
        <v>15</v>
      </c>
      <c r="X30" s="2">
        <v>15</v>
      </c>
      <c r="Y30" s="2">
        <v>27</v>
      </c>
      <c r="Z30" s="2">
        <v>20</v>
      </c>
      <c r="AA30" s="2">
        <v>0</v>
      </c>
      <c r="AB30" s="2">
        <v>0</v>
      </c>
      <c r="AC30" s="2">
        <v>0</v>
      </c>
      <c r="AD30" s="2">
        <v>0</v>
      </c>
      <c r="AE30" s="2">
        <v>100</v>
      </c>
      <c r="AF30" s="2">
        <v>8</v>
      </c>
      <c r="AG30" s="2">
        <v>18</v>
      </c>
      <c r="AH30" s="2">
        <v>1</v>
      </c>
      <c r="AI30" s="2">
        <v>0</v>
      </c>
      <c r="AJ30" s="2">
        <v>72</v>
      </c>
    </row>
    <row r="31" spans="1:36" x14ac:dyDescent="0.35">
      <c r="A31" t="s">
        <v>498</v>
      </c>
      <c r="B31" t="s">
        <v>160</v>
      </c>
      <c r="C31" s="2">
        <v>18</v>
      </c>
      <c r="D31" s="2">
        <v>20</v>
      </c>
      <c r="E31" s="2">
        <v>31</v>
      </c>
      <c r="F31" s="2">
        <v>32</v>
      </c>
      <c r="G31" s="2">
        <v>47</v>
      </c>
      <c r="H31" s="2">
        <v>53</v>
      </c>
      <c r="I31" s="2">
        <v>88</v>
      </c>
      <c r="J31" s="2">
        <v>8</v>
      </c>
      <c r="K31" s="2">
        <v>0</v>
      </c>
      <c r="L31" s="2">
        <v>2</v>
      </c>
      <c r="M31" s="2">
        <v>2</v>
      </c>
      <c r="N31" s="2">
        <v>0</v>
      </c>
      <c r="O31" s="2">
        <v>57</v>
      </c>
      <c r="P31" s="2">
        <v>22</v>
      </c>
      <c r="Q31" s="2">
        <v>9</v>
      </c>
      <c r="R31" s="2">
        <v>7</v>
      </c>
      <c r="S31" s="2">
        <v>5</v>
      </c>
      <c r="T31" s="2">
        <v>75</v>
      </c>
      <c r="U31" s="2">
        <v>2</v>
      </c>
      <c r="V31" s="2">
        <v>24</v>
      </c>
      <c r="W31" s="2">
        <v>16</v>
      </c>
      <c r="X31" s="2">
        <v>15</v>
      </c>
      <c r="Y31" s="2">
        <v>28</v>
      </c>
      <c r="Z31" s="2">
        <v>16</v>
      </c>
      <c r="AA31" s="2">
        <v>10</v>
      </c>
      <c r="AB31" s="2">
        <v>7</v>
      </c>
      <c r="AC31" s="2">
        <v>5</v>
      </c>
      <c r="AD31" s="2">
        <v>18</v>
      </c>
      <c r="AE31" s="2">
        <v>60</v>
      </c>
      <c r="AF31" s="2">
        <v>30</v>
      </c>
      <c r="AG31" s="2">
        <v>19</v>
      </c>
      <c r="AH31" s="2">
        <v>2</v>
      </c>
      <c r="AI31" s="2">
        <v>3</v>
      </c>
      <c r="AJ31" s="2">
        <v>46</v>
      </c>
    </row>
    <row r="32" spans="1:36" x14ac:dyDescent="0.35">
      <c r="A32" t="s">
        <v>161</v>
      </c>
      <c r="B32" t="s">
        <v>162</v>
      </c>
      <c r="C32" s="2">
        <v>19</v>
      </c>
      <c r="D32" s="2">
        <v>22</v>
      </c>
      <c r="E32" s="2">
        <v>35</v>
      </c>
      <c r="F32" s="2">
        <v>24</v>
      </c>
      <c r="G32" s="2">
        <v>46</v>
      </c>
      <c r="H32" s="2">
        <v>54</v>
      </c>
      <c r="I32" s="2">
        <v>73</v>
      </c>
      <c r="J32" s="2">
        <v>9</v>
      </c>
      <c r="K32" s="2">
        <v>1</v>
      </c>
      <c r="L32" s="2">
        <v>4</v>
      </c>
      <c r="M32" s="2">
        <v>4</v>
      </c>
      <c r="N32" s="2">
        <v>9</v>
      </c>
      <c r="O32" s="2">
        <v>48</v>
      </c>
      <c r="P32" s="2">
        <v>18</v>
      </c>
      <c r="Q32" s="2">
        <v>17</v>
      </c>
      <c r="R32" s="2">
        <v>16</v>
      </c>
      <c r="S32" s="2">
        <v>2</v>
      </c>
      <c r="T32" s="2">
        <v>88</v>
      </c>
      <c r="U32" s="2">
        <v>7</v>
      </c>
      <c r="V32" s="2">
        <v>5</v>
      </c>
      <c r="W32" s="2">
        <v>19</v>
      </c>
      <c r="X32" s="2">
        <v>20</v>
      </c>
      <c r="Y32" s="2">
        <v>26</v>
      </c>
      <c r="Z32" s="2">
        <v>22</v>
      </c>
      <c r="AA32" s="2">
        <v>3</v>
      </c>
      <c r="AB32" s="2">
        <v>2</v>
      </c>
      <c r="AC32" s="2">
        <v>2</v>
      </c>
      <c r="AD32" s="2">
        <v>7</v>
      </c>
      <c r="AE32" s="2">
        <v>85</v>
      </c>
      <c r="AF32" s="2">
        <v>24</v>
      </c>
      <c r="AG32" s="2">
        <v>16</v>
      </c>
      <c r="AH32" s="2">
        <v>6</v>
      </c>
      <c r="AI32" s="2">
        <v>5</v>
      </c>
      <c r="AJ32" s="2">
        <v>49</v>
      </c>
    </row>
    <row r="33" spans="1:36" x14ac:dyDescent="0.35">
      <c r="A33" t="s">
        <v>163</v>
      </c>
      <c r="B33" t="s">
        <v>164</v>
      </c>
      <c r="C33" s="2">
        <v>22</v>
      </c>
      <c r="D33" s="2">
        <v>17</v>
      </c>
      <c r="E33" s="2">
        <v>41</v>
      </c>
      <c r="F33" s="2">
        <v>21</v>
      </c>
      <c r="G33" s="2">
        <v>50</v>
      </c>
      <c r="H33" s="2">
        <v>50</v>
      </c>
      <c r="I33" s="2">
        <v>87</v>
      </c>
      <c r="J33" s="2">
        <v>4</v>
      </c>
      <c r="K33" s="2">
        <v>1</v>
      </c>
      <c r="L33" s="2">
        <v>3</v>
      </c>
      <c r="M33" s="2">
        <v>1</v>
      </c>
      <c r="N33" s="2">
        <v>4</v>
      </c>
      <c r="O33" s="2">
        <v>6</v>
      </c>
      <c r="P33" s="2">
        <v>22</v>
      </c>
      <c r="Q33" s="2">
        <v>14</v>
      </c>
      <c r="R33" s="2">
        <v>33</v>
      </c>
      <c r="S33" s="2">
        <v>24</v>
      </c>
      <c r="T33" s="2">
        <v>41</v>
      </c>
      <c r="U33" s="2"/>
      <c r="V33" s="2">
        <v>59</v>
      </c>
      <c r="W33" s="2">
        <v>1</v>
      </c>
      <c r="X33" s="2">
        <v>22</v>
      </c>
      <c r="Y33" s="2">
        <v>12</v>
      </c>
      <c r="Z33" s="2">
        <v>6</v>
      </c>
      <c r="AA33" s="2">
        <v>8</v>
      </c>
      <c r="AB33" s="2">
        <v>9</v>
      </c>
      <c r="AC33" s="2">
        <v>8</v>
      </c>
      <c r="AD33" s="2">
        <v>15</v>
      </c>
      <c r="AE33" s="2">
        <v>60</v>
      </c>
      <c r="AF33" s="2">
        <v>18</v>
      </c>
      <c r="AG33" s="2">
        <v>9</v>
      </c>
      <c r="AH33" s="2">
        <v>5</v>
      </c>
      <c r="AI33" s="2">
        <v>1</v>
      </c>
      <c r="AJ33" s="2">
        <v>67</v>
      </c>
    </row>
    <row r="34" spans="1:36" x14ac:dyDescent="0.35">
      <c r="A34" t="s">
        <v>165</v>
      </c>
      <c r="B34" t="s">
        <v>166</v>
      </c>
      <c r="C34" s="2">
        <v>22</v>
      </c>
      <c r="D34" s="2">
        <v>17</v>
      </c>
      <c r="E34" s="2">
        <v>31</v>
      </c>
      <c r="F34" s="2">
        <v>30</v>
      </c>
      <c r="G34" s="2">
        <v>43</v>
      </c>
      <c r="H34" s="2">
        <v>57</v>
      </c>
      <c r="I34" s="2">
        <v>82</v>
      </c>
      <c r="J34" s="2">
        <v>1</v>
      </c>
      <c r="K34" s="2">
        <v>2</v>
      </c>
      <c r="L34" s="2">
        <v>5</v>
      </c>
      <c r="M34" s="2">
        <v>4</v>
      </c>
      <c r="N34" s="2">
        <v>6</v>
      </c>
      <c r="O34" s="2">
        <v>14</v>
      </c>
      <c r="P34" s="2">
        <v>20</v>
      </c>
      <c r="Q34" s="2">
        <v>19</v>
      </c>
      <c r="R34" s="2">
        <v>30</v>
      </c>
      <c r="S34" s="2">
        <v>16</v>
      </c>
      <c r="T34" s="2">
        <v>87</v>
      </c>
      <c r="U34" s="2">
        <v>4</v>
      </c>
      <c r="V34" s="2">
        <v>10</v>
      </c>
      <c r="W34" s="2">
        <v>37</v>
      </c>
      <c r="X34" s="2">
        <v>6</v>
      </c>
      <c r="Y34" s="2">
        <v>24</v>
      </c>
      <c r="Z34" s="2">
        <v>19</v>
      </c>
      <c r="AA34" s="2">
        <v>14</v>
      </c>
      <c r="AB34" s="2">
        <v>5</v>
      </c>
      <c r="AC34" s="2">
        <v>8</v>
      </c>
      <c r="AD34" s="2">
        <v>18</v>
      </c>
      <c r="AE34" s="2">
        <v>54</v>
      </c>
      <c r="AF34" s="2">
        <v>34</v>
      </c>
      <c r="AG34" s="2">
        <v>45</v>
      </c>
      <c r="AH34" s="2">
        <v>12</v>
      </c>
      <c r="AI34" s="2">
        <v>6</v>
      </c>
      <c r="AJ34" s="2">
        <v>4</v>
      </c>
    </row>
    <row r="35" spans="1:36" x14ac:dyDescent="0.35">
      <c r="A35" t="s">
        <v>167</v>
      </c>
      <c r="B35" t="s">
        <v>168</v>
      </c>
      <c r="C35" s="2">
        <v>17</v>
      </c>
      <c r="D35" s="2">
        <v>21</v>
      </c>
      <c r="E35" s="2">
        <v>34</v>
      </c>
      <c r="F35" s="2">
        <v>27</v>
      </c>
      <c r="G35" s="2">
        <v>44</v>
      </c>
      <c r="H35" s="2">
        <v>56</v>
      </c>
      <c r="I35" s="2">
        <v>89</v>
      </c>
      <c r="J35" s="2">
        <v>3</v>
      </c>
      <c r="K35" s="2">
        <v>0</v>
      </c>
      <c r="L35" s="2">
        <v>5</v>
      </c>
      <c r="M35" s="2">
        <v>1</v>
      </c>
      <c r="N35" s="2">
        <v>2</v>
      </c>
      <c r="O35" s="2">
        <v>40</v>
      </c>
      <c r="P35" s="2">
        <v>29</v>
      </c>
      <c r="Q35" s="2">
        <v>20</v>
      </c>
      <c r="R35" s="2">
        <v>8</v>
      </c>
      <c r="S35" s="2">
        <v>3</v>
      </c>
      <c r="T35" s="2">
        <v>23</v>
      </c>
      <c r="U35" s="2">
        <v>4</v>
      </c>
      <c r="V35" s="2">
        <v>73</v>
      </c>
      <c r="W35" s="2">
        <v>1</v>
      </c>
      <c r="X35" s="2">
        <v>20</v>
      </c>
      <c r="Y35" s="2">
        <v>1</v>
      </c>
      <c r="Z35" s="2">
        <v>0</v>
      </c>
      <c r="AA35" s="2">
        <v>3</v>
      </c>
      <c r="AB35" s="2">
        <v>2</v>
      </c>
      <c r="AC35" s="2">
        <v>8</v>
      </c>
      <c r="AD35" s="2">
        <v>17</v>
      </c>
      <c r="AE35" s="2">
        <v>70</v>
      </c>
      <c r="AF35" s="2">
        <v>28</v>
      </c>
      <c r="AG35" s="2">
        <v>15</v>
      </c>
      <c r="AH35" s="2">
        <v>5</v>
      </c>
      <c r="AI35" s="2">
        <v>4</v>
      </c>
      <c r="AJ35" s="2">
        <v>47</v>
      </c>
    </row>
    <row r="36" spans="1:36" x14ac:dyDescent="0.35">
      <c r="A36" t="s">
        <v>169</v>
      </c>
      <c r="B36" t="s">
        <v>170</v>
      </c>
      <c r="C36" s="2">
        <v>20</v>
      </c>
      <c r="D36" s="2">
        <v>25</v>
      </c>
      <c r="E36" s="2">
        <v>41</v>
      </c>
      <c r="F36" s="2">
        <v>14</v>
      </c>
      <c r="G36" s="2">
        <v>49</v>
      </c>
      <c r="H36" s="2">
        <v>51</v>
      </c>
      <c r="I36" s="2">
        <v>95</v>
      </c>
      <c r="J36" s="2">
        <v>2</v>
      </c>
      <c r="K36" s="2">
        <v>1</v>
      </c>
      <c r="L36" s="2">
        <v>1</v>
      </c>
      <c r="M36" s="2">
        <v>1</v>
      </c>
      <c r="N36" s="2">
        <v>1</v>
      </c>
      <c r="O36" s="2">
        <v>33</v>
      </c>
      <c r="P36" s="2">
        <v>39</v>
      </c>
      <c r="Q36" s="2">
        <v>14</v>
      </c>
      <c r="R36" s="2">
        <v>7</v>
      </c>
      <c r="S36" s="2">
        <v>7</v>
      </c>
      <c r="T36" s="2">
        <v>87</v>
      </c>
      <c r="U36" s="2">
        <v>2</v>
      </c>
      <c r="V36" s="2">
        <v>11</v>
      </c>
      <c r="W36" s="2">
        <v>21</v>
      </c>
      <c r="X36" s="2">
        <v>17</v>
      </c>
      <c r="Y36" s="2">
        <v>33</v>
      </c>
      <c r="Z36" s="2">
        <v>16</v>
      </c>
      <c r="AA36" s="2">
        <v>8</v>
      </c>
      <c r="AB36" s="2">
        <v>7</v>
      </c>
      <c r="AC36" s="2">
        <v>8</v>
      </c>
      <c r="AD36" s="2">
        <v>14</v>
      </c>
      <c r="AE36" s="2">
        <v>63</v>
      </c>
      <c r="AF36" s="2">
        <v>26</v>
      </c>
      <c r="AG36" s="2">
        <v>20</v>
      </c>
      <c r="AH36" s="2">
        <v>5</v>
      </c>
      <c r="AI36" s="2">
        <v>1</v>
      </c>
      <c r="AJ36" s="2">
        <v>48</v>
      </c>
    </row>
    <row r="37" spans="1:36" x14ac:dyDescent="0.35">
      <c r="A37" t="s">
        <v>171</v>
      </c>
      <c r="B37" t="s">
        <v>172</v>
      </c>
      <c r="C37" s="2">
        <v>43</v>
      </c>
      <c r="D37" s="2">
        <v>25</v>
      </c>
      <c r="E37" s="2">
        <v>22</v>
      </c>
      <c r="F37" s="2">
        <v>10</v>
      </c>
      <c r="G37" s="2">
        <v>41</v>
      </c>
      <c r="H37" s="2">
        <v>59</v>
      </c>
      <c r="I37" s="2">
        <v>61</v>
      </c>
      <c r="J37" s="2">
        <v>6</v>
      </c>
      <c r="K37" s="2">
        <v>13</v>
      </c>
      <c r="L37" s="2">
        <v>4</v>
      </c>
      <c r="M37" s="2">
        <v>6</v>
      </c>
      <c r="N37" s="2">
        <v>9</v>
      </c>
      <c r="O37" s="2">
        <v>18</v>
      </c>
      <c r="P37" s="2">
        <v>20</v>
      </c>
      <c r="Q37" s="2">
        <v>23</v>
      </c>
      <c r="R37" s="2">
        <v>25</v>
      </c>
      <c r="S37" s="2">
        <v>13</v>
      </c>
      <c r="T37" s="2">
        <v>34</v>
      </c>
      <c r="U37" s="2">
        <v>35</v>
      </c>
      <c r="V37" s="2">
        <v>30</v>
      </c>
      <c r="W37" s="2">
        <v>3</v>
      </c>
      <c r="X37" s="2">
        <v>10</v>
      </c>
      <c r="Y37" s="2">
        <v>15</v>
      </c>
      <c r="Z37" s="2">
        <v>7</v>
      </c>
      <c r="AA37" s="2">
        <v>2</v>
      </c>
      <c r="AB37" s="2">
        <v>1</v>
      </c>
      <c r="AC37" s="2">
        <v>3</v>
      </c>
      <c r="AD37" s="2">
        <v>5</v>
      </c>
      <c r="AE37" s="2">
        <v>89</v>
      </c>
      <c r="AF37" s="2">
        <v>23</v>
      </c>
      <c r="AG37" s="2">
        <v>8</v>
      </c>
      <c r="AH37" s="2">
        <v>3</v>
      </c>
      <c r="AI37" s="2">
        <v>1</v>
      </c>
      <c r="AJ37" s="2">
        <v>65</v>
      </c>
    </row>
    <row r="38" spans="1:36" x14ac:dyDescent="0.35">
      <c r="A38" t="s">
        <v>173</v>
      </c>
      <c r="B38" t="s">
        <v>174</v>
      </c>
      <c r="C38" s="2">
        <v>21</v>
      </c>
      <c r="D38" s="2">
        <v>25</v>
      </c>
      <c r="E38" s="2">
        <v>34</v>
      </c>
      <c r="F38" s="2">
        <v>21</v>
      </c>
      <c r="G38" s="2">
        <v>43</v>
      </c>
      <c r="H38" s="2">
        <v>57</v>
      </c>
      <c r="I38" s="2">
        <v>76</v>
      </c>
      <c r="J38" s="2">
        <v>3</v>
      </c>
      <c r="K38" s="2">
        <v>1</v>
      </c>
      <c r="L38" s="2">
        <v>3</v>
      </c>
      <c r="M38" s="2">
        <v>12</v>
      </c>
      <c r="N38" s="2">
        <v>5</v>
      </c>
      <c r="O38" s="2">
        <v>49</v>
      </c>
      <c r="P38" s="2">
        <v>26</v>
      </c>
      <c r="Q38" s="2">
        <v>13</v>
      </c>
      <c r="R38" s="2">
        <v>11</v>
      </c>
      <c r="S38" s="2">
        <v>2</v>
      </c>
      <c r="T38" s="2">
        <v>84</v>
      </c>
      <c r="U38" s="2">
        <v>6</v>
      </c>
      <c r="V38" s="2">
        <v>11</v>
      </c>
      <c r="W38" s="2">
        <v>17</v>
      </c>
      <c r="X38" s="2">
        <v>12</v>
      </c>
      <c r="Y38" s="2">
        <v>37</v>
      </c>
      <c r="Z38" s="2">
        <v>18</v>
      </c>
      <c r="AA38" s="2">
        <v>11</v>
      </c>
      <c r="AB38" s="2">
        <v>7</v>
      </c>
      <c r="AC38" s="2">
        <v>15</v>
      </c>
      <c r="AD38" s="2">
        <v>21</v>
      </c>
      <c r="AE38" s="2">
        <v>47</v>
      </c>
      <c r="AF38" s="2">
        <v>57</v>
      </c>
      <c r="AG38" s="2">
        <v>24</v>
      </c>
      <c r="AH38" s="2">
        <v>3</v>
      </c>
      <c r="AI38" s="2">
        <v>5</v>
      </c>
      <c r="AJ38" s="2">
        <v>11</v>
      </c>
    </row>
    <row r="39" spans="1:36" x14ac:dyDescent="0.35">
      <c r="A39" t="s">
        <v>175</v>
      </c>
      <c r="B39" t="s">
        <v>176</v>
      </c>
      <c r="C39" s="2">
        <v>13</v>
      </c>
      <c r="D39" s="2">
        <v>29</v>
      </c>
      <c r="E39" s="2">
        <v>35</v>
      </c>
      <c r="F39" s="2">
        <v>23</v>
      </c>
      <c r="G39" s="2">
        <v>34</v>
      </c>
      <c r="H39" s="2">
        <v>66</v>
      </c>
      <c r="I39" s="2">
        <v>97</v>
      </c>
      <c r="J39" s="2">
        <v>0</v>
      </c>
      <c r="K39" s="2">
        <v>2</v>
      </c>
      <c r="L39" s="2">
        <v>0</v>
      </c>
      <c r="M39" s="2">
        <v>0</v>
      </c>
      <c r="N39" s="2">
        <v>1</v>
      </c>
      <c r="O39" s="2">
        <v>53</v>
      </c>
      <c r="P39" s="2">
        <v>27</v>
      </c>
      <c r="Q39" s="2">
        <v>15</v>
      </c>
      <c r="R39" s="2">
        <v>3</v>
      </c>
      <c r="S39" s="2">
        <v>1</v>
      </c>
      <c r="T39" s="2">
        <v>79</v>
      </c>
      <c r="U39" s="2">
        <v>8</v>
      </c>
      <c r="V39" s="2">
        <v>13</v>
      </c>
      <c r="W39" s="2">
        <v>9</v>
      </c>
      <c r="X39" s="2">
        <v>17</v>
      </c>
      <c r="Y39" s="2">
        <v>36</v>
      </c>
      <c r="Z39" s="2">
        <v>16</v>
      </c>
      <c r="AA39" s="2">
        <v>1</v>
      </c>
      <c r="AB39" s="2">
        <v>3</v>
      </c>
      <c r="AC39" s="2">
        <v>3</v>
      </c>
      <c r="AD39" s="2">
        <v>17</v>
      </c>
      <c r="AE39" s="2">
        <v>74</v>
      </c>
      <c r="AF39" s="2">
        <v>23</v>
      </c>
      <c r="AG39" s="2">
        <v>14</v>
      </c>
      <c r="AH39" s="2">
        <v>1</v>
      </c>
      <c r="AI39" s="2">
        <v>1</v>
      </c>
      <c r="AJ39" s="2">
        <v>60</v>
      </c>
    </row>
    <row r="40" spans="1:36" x14ac:dyDescent="0.35">
      <c r="A40" t="s">
        <v>466</v>
      </c>
      <c r="B40" t="s">
        <v>279</v>
      </c>
      <c r="C40" s="2">
        <v>22</v>
      </c>
      <c r="D40" s="2">
        <v>17</v>
      </c>
      <c r="E40" s="2">
        <v>34</v>
      </c>
      <c r="F40" s="2">
        <v>27</v>
      </c>
      <c r="G40" s="2">
        <v>36</v>
      </c>
      <c r="H40" s="2">
        <v>64</v>
      </c>
      <c r="I40" s="2">
        <v>74</v>
      </c>
      <c r="J40" s="2">
        <v>14</v>
      </c>
      <c r="K40" s="2">
        <v>1</v>
      </c>
      <c r="L40" s="2">
        <v>2</v>
      </c>
      <c r="M40" s="2">
        <v>7</v>
      </c>
      <c r="N40" s="2">
        <v>3</v>
      </c>
      <c r="O40" s="2">
        <v>29</v>
      </c>
      <c r="P40" s="2">
        <v>17</v>
      </c>
      <c r="Q40" s="2">
        <v>26</v>
      </c>
      <c r="R40" s="2">
        <v>23</v>
      </c>
      <c r="S40" s="2">
        <v>5</v>
      </c>
      <c r="T40" s="2">
        <v>89</v>
      </c>
      <c r="U40" s="2">
        <v>3</v>
      </c>
      <c r="V40" s="2">
        <v>8</v>
      </c>
      <c r="W40" s="2">
        <v>26</v>
      </c>
      <c r="X40" s="2">
        <v>5</v>
      </c>
      <c r="Y40" s="2">
        <v>36</v>
      </c>
      <c r="Z40" s="2">
        <v>22</v>
      </c>
      <c r="AA40" s="2">
        <v>5</v>
      </c>
      <c r="AB40" s="2">
        <v>5</v>
      </c>
      <c r="AC40" s="2">
        <v>6</v>
      </c>
      <c r="AD40" s="2">
        <v>34</v>
      </c>
      <c r="AE40" s="2">
        <v>50</v>
      </c>
      <c r="AF40" s="2">
        <v>37</v>
      </c>
      <c r="AG40" s="2">
        <v>25</v>
      </c>
      <c r="AH40" s="2">
        <v>10</v>
      </c>
      <c r="AI40" s="2">
        <v>10</v>
      </c>
      <c r="AJ40" s="2">
        <v>18</v>
      </c>
    </row>
    <row r="41" spans="1:36" x14ac:dyDescent="0.35">
      <c r="A41" t="s">
        <v>492</v>
      </c>
      <c r="B41" t="s">
        <v>177</v>
      </c>
      <c r="C41" s="2">
        <v>27</v>
      </c>
      <c r="D41" s="2">
        <v>29</v>
      </c>
      <c r="E41" s="2">
        <v>20</v>
      </c>
      <c r="F41" s="2">
        <v>24</v>
      </c>
      <c r="G41" s="2">
        <v>44</v>
      </c>
      <c r="H41" s="2">
        <v>56</v>
      </c>
      <c r="I41" s="2">
        <v>56</v>
      </c>
      <c r="J41" s="2">
        <v>11</v>
      </c>
      <c r="K41" s="2">
        <v>18</v>
      </c>
      <c r="L41" s="2">
        <v>3</v>
      </c>
      <c r="M41" s="2">
        <v>6</v>
      </c>
      <c r="N41" s="2">
        <v>6</v>
      </c>
      <c r="O41" s="2">
        <v>2</v>
      </c>
      <c r="P41" s="2">
        <v>0</v>
      </c>
      <c r="Q41" s="2">
        <v>9</v>
      </c>
      <c r="R41" s="2">
        <v>45</v>
      </c>
      <c r="S41" s="2">
        <v>44</v>
      </c>
      <c r="T41" s="2">
        <v>77</v>
      </c>
      <c r="U41" s="2">
        <v>12</v>
      </c>
      <c r="V41" s="2">
        <v>11</v>
      </c>
      <c r="W41" s="2">
        <v>23</v>
      </c>
      <c r="X41" s="2">
        <v>12</v>
      </c>
      <c r="Y41" s="2">
        <v>27</v>
      </c>
      <c r="Z41" s="2">
        <v>15</v>
      </c>
      <c r="AA41" s="2">
        <v>5</v>
      </c>
      <c r="AB41" s="2">
        <v>5</v>
      </c>
      <c r="AC41" s="2">
        <v>11</v>
      </c>
      <c r="AD41" s="2">
        <v>27</v>
      </c>
      <c r="AE41" s="2">
        <v>53</v>
      </c>
      <c r="AF41" s="2">
        <v>14</v>
      </c>
      <c r="AG41" s="2">
        <v>5</v>
      </c>
      <c r="AH41" s="2">
        <v>3</v>
      </c>
      <c r="AI41" s="2">
        <v>0</v>
      </c>
      <c r="AJ41" s="2">
        <v>79</v>
      </c>
    </row>
    <row r="42" spans="1:36" x14ac:dyDescent="0.35">
      <c r="A42" t="s">
        <v>178</v>
      </c>
      <c r="B42" t="s">
        <v>179</v>
      </c>
      <c r="C42" s="2">
        <v>18</v>
      </c>
      <c r="D42" s="2">
        <v>23</v>
      </c>
      <c r="E42" s="2">
        <v>35</v>
      </c>
      <c r="F42" s="2">
        <v>23</v>
      </c>
      <c r="G42" s="2">
        <v>42</v>
      </c>
      <c r="H42" s="2">
        <v>58</v>
      </c>
      <c r="I42" s="2">
        <v>77</v>
      </c>
      <c r="J42" s="2">
        <v>4</v>
      </c>
      <c r="K42" s="2">
        <v>2</v>
      </c>
      <c r="L42" s="2">
        <v>5</v>
      </c>
      <c r="M42" s="2">
        <v>2</v>
      </c>
      <c r="N42" s="2">
        <v>11</v>
      </c>
      <c r="O42" s="2">
        <v>21</v>
      </c>
      <c r="P42" s="2">
        <v>22</v>
      </c>
      <c r="Q42" s="2">
        <v>18</v>
      </c>
      <c r="R42" s="2">
        <v>17</v>
      </c>
      <c r="S42" s="2">
        <v>22</v>
      </c>
      <c r="T42" s="2">
        <v>92</v>
      </c>
      <c r="U42" s="2">
        <v>4</v>
      </c>
      <c r="V42" s="2">
        <v>3</v>
      </c>
      <c r="W42" s="2">
        <v>28</v>
      </c>
      <c r="X42" s="2">
        <v>13</v>
      </c>
      <c r="Y42" s="2">
        <v>24</v>
      </c>
      <c r="Z42" s="2">
        <v>28</v>
      </c>
      <c r="AA42" s="2">
        <v>3</v>
      </c>
      <c r="AB42" s="2">
        <v>3</v>
      </c>
      <c r="AC42" s="2">
        <v>4</v>
      </c>
      <c r="AD42" s="2">
        <v>18</v>
      </c>
      <c r="AE42" s="2">
        <v>72</v>
      </c>
      <c r="AF42" s="2">
        <v>19</v>
      </c>
      <c r="AG42" s="2">
        <v>24</v>
      </c>
      <c r="AH42" s="2">
        <v>7</v>
      </c>
      <c r="AI42" s="2">
        <v>4</v>
      </c>
      <c r="AJ42" s="2">
        <v>46</v>
      </c>
    </row>
    <row r="43" spans="1:36" x14ac:dyDescent="0.35">
      <c r="A43" t="s">
        <v>180</v>
      </c>
      <c r="B43" t="s">
        <v>181</v>
      </c>
      <c r="C43" s="2">
        <v>32</v>
      </c>
      <c r="D43" s="2">
        <v>25</v>
      </c>
      <c r="E43" s="2">
        <v>25</v>
      </c>
      <c r="F43" s="2">
        <v>18</v>
      </c>
      <c r="G43" s="2">
        <v>37</v>
      </c>
      <c r="H43" s="2">
        <v>63</v>
      </c>
      <c r="I43" s="2">
        <v>49</v>
      </c>
      <c r="J43" s="2">
        <v>15</v>
      </c>
      <c r="K43" s="2">
        <v>10</v>
      </c>
      <c r="L43" s="2">
        <v>5</v>
      </c>
      <c r="M43" s="2">
        <v>15</v>
      </c>
      <c r="N43" s="2">
        <v>7</v>
      </c>
      <c r="O43" s="2">
        <v>10</v>
      </c>
      <c r="P43" s="2">
        <v>18</v>
      </c>
      <c r="Q43" s="2">
        <v>23</v>
      </c>
      <c r="R43" s="2">
        <v>32</v>
      </c>
      <c r="S43" s="2">
        <v>18</v>
      </c>
      <c r="T43" s="2">
        <v>82</v>
      </c>
      <c r="U43" s="2">
        <v>5</v>
      </c>
      <c r="V43" s="2">
        <v>13</v>
      </c>
      <c r="W43" s="2">
        <v>22</v>
      </c>
      <c r="X43" s="2">
        <v>9</v>
      </c>
      <c r="Y43" s="2">
        <v>26</v>
      </c>
      <c r="Z43" s="2">
        <v>25</v>
      </c>
      <c r="AA43" s="2">
        <v>11</v>
      </c>
      <c r="AB43" s="2">
        <v>6</v>
      </c>
      <c r="AC43" s="2">
        <v>7</v>
      </c>
      <c r="AD43" s="2">
        <v>27</v>
      </c>
      <c r="AE43" s="2">
        <v>49</v>
      </c>
      <c r="AF43" s="2">
        <v>41</v>
      </c>
      <c r="AG43" s="2">
        <v>17</v>
      </c>
      <c r="AH43" s="2">
        <v>11</v>
      </c>
      <c r="AI43" s="2">
        <v>6</v>
      </c>
      <c r="AJ43" s="2">
        <v>24</v>
      </c>
    </row>
    <row r="44" spans="1:36" x14ac:dyDescent="0.35">
      <c r="A44" t="s">
        <v>461</v>
      </c>
      <c r="B44" t="s">
        <v>182</v>
      </c>
      <c r="C44" s="2">
        <v>28</v>
      </c>
      <c r="D44" s="2">
        <v>21</v>
      </c>
      <c r="E44" s="2">
        <v>24</v>
      </c>
      <c r="F44" s="2">
        <v>28</v>
      </c>
      <c r="G44" s="2">
        <v>38</v>
      </c>
      <c r="H44" s="2">
        <v>63</v>
      </c>
      <c r="I44" s="2">
        <v>100</v>
      </c>
      <c r="J44" s="2">
        <v>0</v>
      </c>
      <c r="K44" s="2">
        <v>0</v>
      </c>
      <c r="L44" s="2">
        <v>0</v>
      </c>
      <c r="M44" s="2">
        <v>0</v>
      </c>
      <c r="N44" s="2">
        <v>0</v>
      </c>
      <c r="O44" s="2">
        <v>7</v>
      </c>
      <c r="P44" s="2">
        <v>14</v>
      </c>
      <c r="Q44" s="2">
        <v>31</v>
      </c>
      <c r="R44" s="2">
        <v>36</v>
      </c>
      <c r="S44" s="2">
        <v>13</v>
      </c>
      <c r="T44" s="2">
        <v>88</v>
      </c>
      <c r="U44" s="2">
        <v>7</v>
      </c>
      <c r="V44" s="2">
        <v>6</v>
      </c>
      <c r="W44" s="2">
        <v>25</v>
      </c>
      <c r="X44" s="2">
        <v>8</v>
      </c>
      <c r="Y44" s="2">
        <v>33</v>
      </c>
      <c r="Z44" s="2">
        <v>21</v>
      </c>
      <c r="AA44" s="2">
        <v>3</v>
      </c>
      <c r="AB44" s="2">
        <v>8</v>
      </c>
      <c r="AC44" s="2">
        <v>8</v>
      </c>
      <c r="AD44" s="2">
        <v>19</v>
      </c>
      <c r="AE44" s="2">
        <v>61</v>
      </c>
      <c r="AF44" s="2">
        <v>71</v>
      </c>
      <c r="AG44" s="2">
        <v>10</v>
      </c>
      <c r="AH44" s="2">
        <v>4</v>
      </c>
      <c r="AI44" s="2">
        <v>1</v>
      </c>
      <c r="AJ44" s="2">
        <v>14</v>
      </c>
    </row>
    <row r="45" spans="1:36" x14ac:dyDescent="0.35">
      <c r="A45" t="s">
        <v>183</v>
      </c>
      <c r="B45" t="s">
        <v>184</v>
      </c>
      <c r="C45" s="2">
        <v>23</v>
      </c>
      <c r="D45" s="2">
        <v>17</v>
      </c>
      <c r="E45" s="2">
        <v>29</v>
      </c>
      <c r="F45" s="2">
        <v>30</v>
      </c>
      <c r="G45" s="2">
        <v>43</v>
      </c>
      <c r="H45" s="2">
        <v>57</v>
      </c>
      <c r="I45" s="2">
        <v>95</v>
      </c>
      <c r="J45" s="2">
        <v>2</v>
      </c>
      <c r="K45" s="2">
        <v>0</v>
      </c>
      <c r="L45" s="2">
        <v>1</v>
      </c>
      <c r="M45" s="2">
        <v>2</v>
      </c>
      <c r="N45" s="2">
        <v>1</v>
      </c>
      <c r="O45" s="2">
        <v>4</v>
      </c>
      <c r="P45" s="2">
        <v>16</v>
      </c>
      <c r="Q45" s="2">
        <v>36</v>
      </c>
      <c r="R45" s="2">
        <v>19</v>
      </c>
      <c r="S45" s="2">
        <v>25</v>
      </c>
      <c r="T45" s="2">
        <v>77</v>
      </c>
      <c r="U45" s="2">
        <v>6</v>
      </c>
      <c r="V45" s="2">
        <v>17</v>
      </c>
      <c r="W45" s="2">
        <v>16</v>
      </c>
      <c r="X45" s="2">
        <v>16</v>
      </c>
      <c r="Y45" s="2">
        <v>14</v>
      </c>
      <c r="Z45" s="2">
        <v>32</v>
      </c>
      <c r="AA45" s="2">
        <v>0</v>
      </c>
      <c r="AB45" s="2">
        <v>0</v>
      </c>
      <c r="AC45" s="2">
        <v>0</v>
      </c>
      <c r="AD45" s="2">
        <v>1</v>
      </c>
      <c r="AE45" s="2">
        <v>99</v>
      </c>
      <c r="AF45" s="2">
        <v>16</v>
      </c>
      <c r="AG45" s="2">
        <v>19</v>
      </c>
      <c r="AH45" s="2">
        <v>2</v>
      </c>
      <c r="AI45" s="2">
        <v>2</v>
      </c>
      <c r="AJ45" s="2">
        <v>61</v>
      </c>
    </row>
    <row r="46" spans="1:36" x14ac:dyDescent="0.35">
      <c r="A46" t="s">
        <v>185</v>
      </c>
      <c r="B46" t="s">
        <v>186</v>
      </c>
      <c r="C46" s="2">
        <v>29</v>
      </c>
      <c r="D46" s="2">
        <v>18</v>
      </c>
      <c r="E46" s="2">
        <v>36</v>
      </c>
      <c r="F46" s="2">
        <v>18</v>
      </c>
      <c r="G46" s="2">
        <v>40</v>
      </c>
      <c r="H46" s="2">
        <v>60</v>
      </c>
      <c r="I46" s="2">
        <v>91</v>
      </c>
      <c r="J46" s="2">
        <v>4</v>
      </c>
      <c r="K46" s="2">
        <v>4</v>
      </c>
      <c r="L46" s="2">
        <v>0</v>
      </c>
      <c r="M46" s="2">
        <v>1</v>
      </c>
      <c r="N46" s="2">
        <v>0</v>
      </c>
      <c r="O46" s="2">
        <v>20</v>
      </c>
      <c r="P46" s="2">
        <v>26</v>
      </c>
      <c r="Q46" s="2">
        <v>21</v>
      </c>
      <c r="R46" s="2">
        <v>20</v>
      </c>
      <c r="S46" s="2">
        <v>13</v>
      </c>
      <c r="T46" s="2">
        <v>74</v>
      </c>
      <c r="U46" s="2">
        <v>8</v>
      </c>
      <c r="V46" s="2">
        <v>18</v>
      </c>
      <c r="W46" s="2">
        <v>13</v>
      </c>
      <c r="X46" s="2">
        <v>17</v>
      </c>
      <c r="Y46" s="2">
        <v>34</v>
      </c>
      <c r="Z46" s="2">
        <v>10</v>
      </c>
      <c r="AA46" s="2">
        <v>7</v>
      </c>
      <c r="AB46" s="2">
        <v>2</v>
      </c>
      <c r="AC46" s="2">
        <v>8</v>
      </c>
      <c r="AD46" s="2">
        <v>11</v>
      </c>
      <c r="AE46" s="2">
        <v>73</v>
      </c>
      <c r="AF46" s="2">
        <v>23</v>
      </c>
      <c r="AG46" s="2">
        <v>7</v>
      </c>
      <c r="AH46" s="2">
        <v>2</v>
      </c>
      <c r="AI46" s="2">
        <v>1</v>
      </c>
      <c r="AJ46" s="2">
        <v>67</v>
      </c>
    </row>
    <row r="47" spans="1:36" x14ac:dyDescent="0.35">
      <c r="A47" t="s">
        <v>187</v>
      </c>
      <c r="B47" t="s">
        <v>188</v>
      </c>
      <c r="C47" s="2">
        <v>35</v>
      </c>
      <c r="D47" s="2">
        <v>22</v>
      </c>
      <c r="E47" s="2">
        <v>27</v>
      </c>
      <c r="F47" s="2">
        <v>16</v>
      </c>
      <c r="G47" s="2">
        <v>46</v>
      </c>
      <c r="H47" s="2">
        <v>54</v>
      </c>
      <c r="I47" s="2">
        <v>65</v>
      </c>
      <c r="J47" s="2">
        <v>7</v>
      </c>
      <c r="K47" s="2">
        <v>10</v>
      </c>
      <c r="L47" s="2">
        <v>4</v>
      </c>
      <c r="M47" s="2">
        <v>5</v>
      </c>
      <c r="N47" s="2">
        <v>9</v>
      </c>
      <c r="O47" s="2">
        <v>27</v>
      </c>
      <c r="P47" s="2">
        <v>19</v>
      </c>
      <c r="Q47" s="2">
        <v>22</v>
      </c>
      <c r="R47" s="2">
        <v>22</v>
      </c>
      <c r="S47" s="2">
        <v>10</v>
      </c>
      <c r="T47" s="2">
        <v>61</v>
      </c>
      <c r="U47" s="2">
        <v>10</v>
      </c>
      <c r="V47" s="2">
        <v>29</v>
      </c>
      <c r="W47" s="2">
        <v>12</v>
      </c>
      <c r="X47" s="2">
        <v>12</v>
      </c>
      <c r="Y47" s="2">
        <v>20</v>
      </c>
      <c r="Z47" s="2">
        <v>18</v>
      </c>
      <c r="AA47" s="2">
        <v>0</v>
      </c>
      <c r="AB47" s="2">
        <v>1</v>
      </c>
      <c r="AC47" s="2">
        <v>2</v>
      </c>
      <c r="AD47" s="2">
        <v>4</v>
      </c>
      <c r="AE47" s="2">
        <v>93</v>
      </c>
      <c r="AF47" s="2">
        <v>10</v>
      </c>
      <c r="AG47" s="2">
        <v>10</v>
      </c>
      <c r="AH47" s="2">
        <v>3</v>
      </c>
      <c r="AI47" s="2">
        <v>3</v>
      </c>
      <c r="AJ47" s="2">
        <v>74</v>
      </c>
    </row>
    <row r="48" spans="1:36" x14ac:dyDescent="0.35">
      <c r="A48" t="s">
        <v>189</v>
      </c>
      <c r="B48" t="s">
        <v>190</v>
      </c>
      <c r="C48" s="2">
        <v>25</v>
      </c>
      <c r="D48" s="2">
        <v>22</v>
      </c>
      <c r="E48" s="2">
        <v>32</v>
      </c>
      <c r="F48" s="2">
        <v>21</v>
      </c>
      <c r="G48" s="2">
        <v>43</v>
      </c>
      <c r="H48" s="2">
        <v>57</v>
      </c>
      <c r="I48" s="2">
        <v>76</v>
      </c>
      <c r="J48" s="2">
        <v>6</v>
      </c>
      <c r="K48" s="2">
        <v>1</v>
      </c>
      <c r="L48" s="2">
        <v>4</v>
      </c>
      <c r="M48" s="2">
        <v>9</v>
      </c>
      <c r="N48" s="2">
        <v>3</v>
      </c>
      <c r="O48" s="2">
        <v>48</v>
      </c>
      <c r="P48" s="2">
        <v>30</v>
      </c>
      <c r="Q48" s="2">
        <v>12</v>
      </c>
      <c r="R48" s="2">
        <v>8</v>
      </c>
      <c r="S48" s="2">
        <v>1</v>
      </c>
      <c r="T48" s="2">
        <v>83</v>
      </c>
      <c r="U48" s="2">
        <v>9</v>
      </c>
      <c r="V48" s="2">
        <v>8</v>
      </c>
      <c r="W48" s="2">
        <v>28</v>
      </c>
      <c r="X48" s="2">
        <v>9</v>
      </c>
      <c r="Y48" s="2">
        <v>20</v>
      </c>
      <c r="Z48" s="2">
        <v>26</v>
      </c>
      <c r="AA48" s="2">
        <v>8</v>
      </c>
      <c r="AB48" s="2">
        <v>4</v>
      </c>
      <c r="AC48" s="2">
        <v>5</v>
      </c>
      <c r="AD48" s="2">
        <v>17</v>
      </c>
      <c r="AE48" s="2">
        <v>67</v>
      </c>
      <c r="AF48" s="2">
        <v>61</v>
      </c>
      <c r="AG48" s="2">
        <v>10</v>
      </c>
      <c r="AH48" s="2">
        <v>9</v>
      </c>
      <c r="AI48" s="2">
        <v>4</v>
      </c>
      <c r="AJ48" s="2">
        <v>17</v>
      </c>
    </row>
    <row r="49" spans="1:36" x14ac:dyDescent="0.35">
      <c r="A49" t="s">
        <v>191</v>
      </c>
      <c r="B49" t="s">
        <v>192</v>
      </c>
      <c r="C49" s="2">
        <v>23</v>
      </c>
      <c r="D49" s="2">
        <v>18</v>
      </c>
      <c r="E49" s="2">
        <v>30</v>
      </c>
      <c r="F49" s="2">
        <v>28</v>
      </c>
      <c r="G49" s="2">
        <v>50</v>
      </c>
      <c r="H49" s="2">
        <v>50</v>
      </c>
      <c r="I49" s="2">
        <v>90</v>
      </c>
      <c r="J49" s="2">
        <v>3</v>
      </c>
      <c r="K49" s="2">
        <v>0</v>
      </c>
      <c r="L49" s="2">
        <v>2</v>
      </c>
      <c r="M49" s="2">
        <v>2</v>
      </c>
      <c r="N49" s="2">
        <v>3</v>
      </c>
      <c r="O49" s="2">
        <v>17</v>
      </c>
      <c r="P49" s="2">
        <v>37</v>
      </c>
      <c r="Q49" s="2">
        <v>15</v>
      </c>
      <c r="R49" s="2">
        <v>15</v>
      </c>
      <c r="S49" s="2">
        <v>17</v>
      </c>
      <c r="T49" s="2">
        <v>85</v>
      </c>
      <c r="U49" s="2">
        <v>2</v>
      </c>
      <c r="V49" s="2">
        <v>13</v>
      </c>
      <c r="W49" s="2">
        <v>5</v>
      </c>
      <c r="X49" s="2">
        <v>17</v>
      </c>
      <c r="Y49" s="2">
        <v>45</v>
      </c>
      <c r="Z49" s="2">
        <v>18</v>
      </c>
      <c r="AA49" s="2">
        <v>3</v>
      </c>
      <c r="AB49" s="2">
        <v>2</v>
      </c>
      <c r="AC49" s="2">
        <v>7</v>
      </c>
      <c r="AD49" s="2">
        <v>7</v>
      </c>
      <c r="AE49" s="2">
        <v>82</v>
      </c>
      <c r="AF49" s="2">
        <v>25</v>
      </c>
      <c r="AG49" s="2">
        <v>7</v>
      </c>
      <c r="AH49" s="2">
        <v>5</v>
      </c>
      <c r="AI49" s="2">
        <v>8</v>
      </c>
      <c r="AJ49" s="2">
        <v>55</v>
      </c>
    </row>
    <row r="50" spans="1:36" x14ac:dyDescent="0.35">
      <c r="A50" t="s">
        <v>193</v>
      </c>
      <c r="B50" t="s">
        <v>194</v>
      </c>
      <c r="C50" s="2">
        <v>24</v>
      </c>
      <c r="D50" s="2">
        <v>26</v>
      </c>
      <c r="E50" s="2">
        <v>28</v>
      </c>
      <c r="F50" s="2">
        <v>22</v>
      </c>
      <c r="G50" s="2">
        <v>43</v>
      </c>
      <c r="H50" s="2">
        <v>57</v>
      </c>
      <c r="I50" s="2">
        <v>84</v>
      </c>
      <c r="J50" s="2">
        <v>7</v>
      </c>
      <c r="K50" s="2">
        <v>1</v>
      </c>
      <c r="L50" s="2">
        <v>2</v>
      </c>
      <c r="M50" s="2">
        <v>2</v>
      </c>
      <c r="N50" s="2">
        <v>4</v>
      </c>
      <c r="O50" s="2">
        <v>21</v>
      </c>
      <c r="P50" s="2">
        <v>25</v>
      </c>
      <c r="Q50" s="2">
        <v>16</v>
      </c>
      <c r="R50" s="2">
        <v>13</v>
      </c>
      <c r="S50" s="2">
        <v>24</v>
      </c>
      <c r="T50" s="2">
        <v>88</v>
      </c>
      <c r="U50" s="2">
        <v>6</v>
      </c>
      <c r="V50" s="2">
        <v>6</v>
      </c>
      <c r="W50" s="2">
        <v>23</v>
      </c>
      <c r="X50" s="2">
        <v>16</v>
      </c>
      <c r="Y50" s="2">
        <v>27</v>
      </c>
      <c r="Z50" s="2">
        <v>21</v>
      </c>
      <c r="AA50" s="2">
        <v>15</v>
      </c>
      <c r="AB50" s="2">
        <v>4</v>
      </c>
      <c r="AC50" s="2">
        <v>11</v>
      </c>
      <c r="AD50" s="2">
        <v>22</v>
      </c>
      <c r="AE50" s="2">
        <v>47</v>
      </c>
      <c r="AF50" s="2">
        <v>31</v>
      </c>
      <c r="AG50" s="2">
        <v>36</v>
      </c>
      <c r="AH50" s="2">
        <v>11</v>
      </c>
      <c r="AI50" s="2">
        <v>8</v>
      </c>
      <c r="AJ50" s="2">
        <v>14</v>
      </c>
    </row>
    <row r="51" spans="1:36" x14ac:dyDescent="0.35">
      <c r="A51" t="s">
        <v>195</v>
      </c>
      <c r="B51" t="s">
        <v>196</v>
      </c>
      <c r="C51" s="2">
        <v>26</v>
      </c>
      <c r="D51" s="2">
        <v>21</v>
      </c>
      <c r="E51" s="2">
        <v>29</v>
      </c>
      <c r="F51" s="2">
        <v>24</v>
      </c>
      <c r="G51" s="2">
        <v>47</v>
      </c>
      <c r="H51" s="2">
        <v>53</v>
      </c>
      <c r="I51" s="2">
        <v>65</v>
      </c>
      <c r="J51" s="2">
        <v>8</v>
      </c>
      <c r="K51" s="2">
        <v>12</v>
      </c>
      <c r="L51" s="2">
        <v>7</v>
      </c>
      <c r="M51" s="2">
        <v>4</v>
      </c>
      <c r="N51" s="2">
        <v>4</v>
      </c>
      <c r="O51" s="2">
        <v>14</v>
      </c>
      <c r="P51" s="2">
        <v>17</v>
      </c>
      <c r="Q51" s="2">
        <v>22</v>
      </c>
      <c r="R51" s="2">
        <v>32</v>
      </c>
      <c r="S51" s="2">
        <v>15</v>
      </c>
      <c r="T51" s="2">
        <v>66</v>
      </c>
      <c r="U51" s="2">
        <v>11</v>
      </c>
      <c r="V51" s="2">
        <v>24</v>
      </c>
      <c r="W51" s="2">
        <v>21</v>
      </c>
      <c r="X51" s="2">
        <v>14</v>
      </c>
      <c r="Y51" s="2">
        <v>20</v>
      </c>
      <c r="Z51" s="2">
        <v>11</v>
      </c>
      <c r="AA51" s="2">
        <v>2</v>
      </c>
      <c r="AB51" s="2">
        <v>0</v>
      </c>
      <c r="AC51" s="2">
        <v>4</v>
      </c>
      <c r="AD51" s="2">
        <v>17</v>
      </c>
      <c r="AE51" s="2">
        <v>78</v>
      </c>
      <c r="AF51" s="2">
        <v>2</v>
      </c>
      <c r="AG51" s="2">
        <v>2</v>
      </c>
      <c r="AH51" s="2">
        <v>1</v>
      </c>
      <c r="AI51" s="2">
        <v>0</v>
      </c>
      <c r="AJ51" s="2">
        <v>95</v>
      </c>
    </row>
    <row r="52" spans="1:36" x14ac:dyDescent="0.35">
      <c r="A52" t="s">
        <v>199</v>
      </c>
      <c r="B52" t="s">
        <v>200</v>
      </c>
      <c r="C52" s="2">
        <v>26</v>
      </c>
      <c r="D52" s="2">
        <v>21</v>
      </c>
      <c r="E52" s="2">
        <v>29</v>
      </c>
      <c r="F52" s="2">
        <v>24</v>
      </c>
      <c r="G52" s="2">
        <v>47</v>
      </c>
      <c r="H52" s="2">
        <v>53</v>
      </c>
      <c r="I52" s="2">
        <v>91</v>
      </c>
      <c r="J52" s="2">
        <v>2</v>
      </c>
      <c r="K52" s="2">
        <v>0</v>
      </c>
      <c r="L52" s="2">
        <v>0</v>
      </c>
      <c r="M52" s="2">
        <v>2</v>
      </c>
      <c r="N52" s="2">
        <v>5</v>
      </c>
      <c r="O52" s="2">
        <v>3</v>
      </c>
      <c r="P52" s="2">
        <v>21</v>
      </c>
      <c r="Q52" s="2">
        <v>12</v>
      </c>
      <c r="R52" s="2">
        <v>19</v>
      </c>
      <c r="S52" s="2">
        <v>45</v>
      </c>
      <c r="T52" s="2">
        <v>66</v>
      </c>
      <c r="U52" s="2">
        <v>9</v>
      </c>
      <c r="V52" s="2">
        <v>26</v>
      </c>
      <c r="W52" s="2">
        <v>9</v>
      </c>
      <c r="X52" s="2">
        <v>7</v>
      </c>
      <c r="Y52" s="2">
        <v>22</v>
      </c>
      <c r="Z52" s="2">
        <v>28</v>
      </c>
      <c r="AA52" s="2">
        <v>10</v>
      </c>
      <c r="AB52" s="2">
        <v>0</v>
      </c>
      <c r="AC52" s="2">
        <v>3</v>
      </c>
      <c r="AD52" s="2">
        <v>10</v>
      </c>
      <c r="AE52" s="2">
        <v>76</v>
      </c>
      <c r="AF52" s="2">
        <v>40</v>
      </c>
      <c r="AG52" s="2">
        <v>5</v>
      </c>
      <c r="AH52" s="2">
        <v>3</v>
      </c>
      <c r="AI52" s="2">
        <v>2</v>
      </c>
      <c r="AJ52" s="2">
        <v>50</v>
      </c>
    </row>
    <row r="53" spans="1:36" x14ac:dyDescent="0.35">
      <c r="A53" t="s">
        <v>463</v>
      </c>
      <c r="B53" t="s">
        <v>201</v>
      </c>
      <c r="C53" s="2">
        <v>29</v>
      </c>
      <c r="D53" s="2">
        <v>23</v>
      </c>
      <c r="E53" s="2">
        <v>27</v>
      </c>
      <c r="F53" s="2">
        <v>21</v>
      </c>
      <c r="G53" s="2">
        <v>42</v>
      </c>
      <c r="H53" s="2">
        <v>58</v>
      </c>
      <c r="I53" s="2">
        <v>45</v>
      </c>
      <c r="J53" s="2">
        <v>32</v>
      </c>
      <c r="K53" s="2">
        <v>8</v>
      </c>
      <c r="L53" s="2">
        <v>3</v>
      </c>
      <c r="M53" s="2">
        <v>10</v>
      </c>
      <c r="N53" s="2">
        <v>3</v>
      </c>
      <c r="O53" s="2">
        <v>15</v>
      </c>
      <c r="P53" s="2">
        <v>26</v>
      </c>
      <c r="Q53" s="2">
        <v>23</v>
      </c>
      <c r="R53" s="2">
        <v>21</v>
      </c>
      <c r="S53" s="2">
        <v>15</v>
      </c>
      <c r="T53" s="2">
        <v>67</v>
      </c>
      <c r="U53" s="2">
        <v>6</v>
      </c>
      <c r="V53" s="2">
        <v>27</v>
      </c>
      <c r="W53" s="2">
        <v>7</v>
      </c>
      <c r="X53" s="2">
        <v>13</v>
      </c>
      <c r="Y53" s="2">
        <v>29</v>
      </c>
      <c r="Z53" s="2">
        <v>18</v>
      </c>
      <c r="AA53" s="2">
        <v>3</v>
      </c>
      <c r="AB53" s="2">
        <v>6</v>
      </c>
      <c r="AC53" s="2">
        <v>10</v>
      </c>
      <c r="AD53" s="2">
        <v>17</v>
      </c>
      <c r="AE53" s="2">
        <v>64</v>
      </c>
      <c r="AF53" s="2">
        <v>21</v>
      </c>
      <c r="AG53" s="2">
        <v>13</v>
      </c>
      <c r="AH53" s="2">
        <v>2</v>
      </c>
      <c r="AI53" s="2">
        <v>2</v>
      </c>
      <c r="AJ53" s="2">
        <v>62</v>
      </c>
    </row>
    <row r="54" spans="1:36" x14ac:dyDescent="0.35">
      <c r="A54" t="s">
        <v>202</v>
      </c>
      <c r="B54" t="s">
        <v>203</v>
      </c>
      <c r="C54" s="2">
        <v>23</v>
      </c>
      <c r="D54" s="2">
        <v>21</v>
      </c>
      <c r="E54" s="2">
        <v>34</v>
      </c>
      <c r="F54" s="2">
        <v>22</v>
      </c>
      <c r="G54" s="2">
        <v>44</v>
      </c>
      <c r="H54" s="2">
        <v>56</v>
      </c>
      <c r="I54" s="2">
        <v>85</v>
      </c>
      <c r="J54" s="2">
        <v>3</v>
      </c>
      <c r="K54" s="2">
        <v>2</v>
      </c>
      <c r="L54" s="2">
        <v>3</v>
      </c>
      <c r="M54" s="2">
        <v>4</v>
      </c>
      <c r="N54" s="2">
        <v>2</v>
      </c>
      <c r="O54" s="2">
        <v>31</v>
      </c>
      <c r="P54" s="2">
        <v>29</v>
      </c>
      <c r="Q54" s="2">
        <v>28</v>
      </c>
      <c r="R54" s="2">
        <v>9</v>
      </c>
      <c r="S54" s="2">
        <v>3</v>
      </c>
      <c r="T54" s="2">
        <v>45</v>
      </c>
      <c r="U54" s="2">
        <v>2</v>
      </c>
      <c r="V54" s="2">
        <v>53</v>
      </c>
      <c r="W54" s="2">
        <v>7</v>
      </c>
      <c r="X54" s="2">
        <v>16</v>
      </c>
      <c r="Y54" s="2">
        <v>10</v>
      </c>
      <c r="Z54" s="2">
        <v>11</v>
      </c>
      <c r="AA54" s="2">
        <v>2</v>
      </c>
      <c r="AB54" s="2">
        <v>0</v>
      </c>
      <c r="AC54" s="2">
        <v>0</v>
      </c>
      <c r="AD54" s="2">
        <v>2</v>
      </c>
      <c r="AE54" s="2">
        <v>96</v>
      </c>
      <c r="AF54" s="2">
        <v>13</v>
      </c>
      <c r="AG54" s="2">
        <v>7</v>
      </c>
      <c r="AH54" s="2">
        <v>1</v>
      </c>
      <c r="AI54" s="2">
        <v>0</v>
      </c>
      <c r="AJ54" s="2">
        <v>79</v>
      </c>
    </row>
    <row r="55" spans="1:36" x14ac:dyDescent="0.35">
      <c r="A55" t="s">
        <v>204</v>
      </c>
      <c r="B55" t="s">
        <v>205</v>
      </c>
      <c r="C55" s="2">
        <v>35</v>
      </c>
      <c r="D55" s="2">
        <v>20</v>
      </c>
      <c r="E55" s="2">
        <v>24</v>
      </c>
      <c r="F55" s="2">
        <v>22</v>
      </c>
      <c r="G55" s="2">
        <v>45</v>
      </c>
      <c r="H55" s="2">
        <v>55</v>
      </c>
      <c r="I55" s="2">
        <v>74</v>
      </c>
      <c r="J55" s="2">
        <v>11</v>
      </c>
      <c r="K55" s="2">
        <v>4</v>
      </c>
      <c r="L55" s="2">
        <v>4</v>
      </c>
      <c r="M55" s="2">
        <v>4</v>
      </c>
      <c r="N55" s="2">
        <v>2</v>
      </c>
      <c r="O55" s="2">
        <v>18</v>
      </c>
      <c r="P55" s="2">
        <v>20</v>
      </c>
      <c r="Q55" s="2">
        <v>15</v>
      </c>
      <c r="R55" s="2">
        <v>17</v>
      </c>
      <c r="S55" s="2">
        <v>29</v>
      </c>
      <c r="T55" s="2">
        <v>43</v>
      </c>
      <c r="U55" s="2">
        <v>5</v>
      </c>
      <c r="V55" s="2">
        <v>52</v>
      </c>
      <c r="W55" s="2">
        <v>7</v>
      </c>
      <c r="X55" s="2">
        <v>20</v>
      </c>
      <c r="Y55" s="2">
        <v>10</v>
      </c>
      <c r="Z55" s="2">
        <v>7</v>
      </c>
      <c r="AA55" s="2">
        <v>0</v>
      </c>
      <c r="AB55" s="2">
        <v>0</v>
      </c>
      <c r="AC55" s="2">
        <v>0</v>
      </c>
      <c r="AD55" s="2">
        <v>4</v>
      </c>
      <c r="AE55" s="2">
        <v>95</v>
      </c>
      <c r="AF55" s="2">
        <v>2</v>
      </c>
      <c r="AG55" s="2">
        <v>1</v>
      </c>
      <c r="AH55" s="2">
        <v>0</v>
      </c>
      <c r="AI55" s="2">
        <v>0</v>
      </c>
      <c r="AJ55" s="2">
        <v>96</v>
      </c>
    </row>
    <row r="56" spans="1:36" x14ac:dyDescent="0.35">
      <c r="A56" t="s">
        <v>206</v>
      </c>
      <c r="B56" t="s">
        <v>207</v>
      </c>
      <c r="C56" s="2">
        <v>20</v>
      </c>
      <c r="D56" s="2">
        <v>18</v>
      </c>
      <c r="E56" s="2">
        <v>39</v>
      </c>
      <c r="F56" s="2">
        <v>23</v>
      </c>
      <c r="G56" s="2">
        <v>41</v>
      </c>
      <c r="H56" s="2">
        <v>59</v>
      </c>
      <c r="I56" s="2">
        <v>83</v>
      </c>
      <c r="J56" s="2">
        <v>5</v>
      </c>
      <c r="K56" s="2">
        <v>1</v>
      </c>
      <c r="L56" s="2">
        <v>2</v>
      </c>
      <c r="M56" s="2">
        <v>3</v>
      </c>
      <c r="N56" s="2">
        <v>5</v>
      </c>
      <c r="O56" s="2">
        <v>12</v>
      </c>
      <c r="P56" s="2">
        <v>20</v>
      </c>
      <c r="Q56" s="2">
        <v>19</v>
      </c>
      <c r="R56" s="2">
        <v>27</v>
      </c>
      <c r="S56" s="2">
        <v>21</v>
      </c>
      <c r="T56" s="2">
        <v>80</v>
      </c>
      <c r="U56" s="2">
        <v>3</v>
      </c>
      <c r="V56" s="2">
        <v>17</v>
      </c>
      <c r="W56" s="2">
        <v>24</v>
      </c>
      <c r="X56" s="2">
        <v>12</v>
      </c>
      <c r="Y56" s="2">
        <v>29</v>
      </c>
      <c r="Z56" s="2">
        <v>16</v>
      </c>
      <c r="AA56" s="2">
        <v>7</v>
      </c>
      <c r="AB56" s="2">
        <v>4</v>
      </c>
      <c r="AC56" s="2">
        <v>11</v>
      </c>
      <c r="AD56" s="2">
        <v>14</v>
      </c>
      <c r="AE56" s="2">
        <v>64</v>
      </c>
      <c r="AF56" s="2">
        <v>46</v>
      </c>
      <c r="AG56" s="2">
        <v>18</v>
      </c>
      <c r="AH56" s="2">
        <v>6</v>
      </c>
      <c r="AI56" s="2">
        <v>5</v>
      </c>
      <c r="AJ56" s="2">
        <v>25</v>
      </c>
    </row>
    <row r="57" spans="1:36" x14ac:dyDescent="0.35">
      <c r="A57" t="s">
        <v>467</v>
      </c>
      <c r="B57" t="s">
        <v>269</v>
      </c>
      <c r="C57" s="2">
        <v>21</v>
      </c>
      <c r="D57" s="2">
        <v>26</v>
      </c>
      <c r="E57" s="2">
        <v>36</v>
      </c>
      <c r="F57" s="2">
        <v>18</v>
      </c>
      <c r="G57" s="2">
        <v>38</v>
      </c>
      <c r="H57" s="2">
        <v>62</v>
      </c>
      <c r="I57" s="2">
        <v>94</v>
      </c>
      <c r="J57" s="2">
        <v>1</v>
      </c>
      <c r="K57" s="2">
        <v>0</v>
      </c>
      <c r="L57" s="2">
        <v>1</v>
      </c>
      <c r="M57" s="2">
        <v>1</v>
      </c>
      <c r="N57" s="2">
        <v>1</v>
      </c>
      <c r="O57" s="2">
        <v>16</v>
      </c>
      <c r="P57" s="2">
        <v>18</v>
      </c>
      <c r="Q57" s="2">
        <v>22</v>
      </c>
      <c r="R57" s="2">
        <v>13</v>
      </c>
      <c r="S57" s="2">
        <v>31</v>
      </c>
      <c r="T57" s="2">
        <v>85</v>
      </c>
      <c r="U57" s="2">
        <v>2</v>
      </c>
      <c r="V57" s="2">
        <v>13</v>
      </c>
      <c r="W57" s="2">
        <v>22</v>
      </c>
      <c r="X57" s="2">
        <v>13</v>
      </c>
      <c r="Y57" s="2">
        <v>26</v>
      </c>
      <c r="Z57" s="2">
        <v>25</v>
      </c>
      <c r="AA57" s="2">
        <v>3</v>
      </c>
      <c r="AB57" s="2">
        <v>7</v>
      </c>
      <c r="AC57" s="2">
        <v>13</v>
      </c>
      <c r="AD57" s="2">
        <v>21</v>
      </c>
      <c r="AE57" s="2">
        <v>56</v>
      </c>
      <c r="AF57" s="2">
        <v>22</v>
      </c>
      <c r="AG57" s="2">
        <v>17</v>
      </c>
      <c r="AH57" s="2">
        <v>8</v>
      </c>
      <c r="AI57" s="2">
        <v>9</v>
      </c>
      <c r="AJ57" s="2">
        <v>44</v>
      </c>
    </row>
    <row r="58" spans="1:36" x14ac:dyDescent="0.35">
      <c r="A58" t="s">
        <v>208</v>
      </c>
      <c r="B58" t="s">
        <v>209</v>
      </c>
      <c r="C58" s="2">
        <v>21</v>
      </c>
      <c r="D58" s="2">
        <v>20</v>
      </c>
      <c r="E58" s="2">
        <v>35</v>
      </c>
      <c r="F58" s="2">
        <v>25</v>
      </c>
      <c r="G58" s="2">
        <v>40</v>
      </c>
      <c r="H58" s="2">
        <v>60</v>
      </c>
      <c r="I58" s="2">
        <v>87</v>
      </c>
      <c r="J58" s="2">
        <v>2</v>
      </c>
      <c r="K58" s="2">
        <v>1</v>
      </c>
      <c r="L58" s="2">
        <v>2</v>
      </c>
      <c r="M58" s="2">
        <v>3</v>
      </c>
      <c r="N58" s="2">
        <v>4</v>
      </c>
      <c r="O58" s="2">
        <v>26</v>
      </c>
      <c r="P58" s="2">
        <v>26</v>
      </c>
      <c r="Q58" s="2">
        <v>22</v>
      </c>
      <c r="R58" s="2">
        <v>15</v>
      </c>
      <c r="S58" s="2">
        <v>11</v>
      </c>
      <c r="T58" s="2">
        <v>82</v>
      </c>
      <c r="U58" s="2">
        <v>3</v>
      </c>
      <c r="V58" s="2">
        <v>15</v>
      </c>
      <c r="W58" s="2">
        <v>26</v>
      </c>
      <c r="X58" s="2">
        <v>12</v>
      </c>
      <c r="Y58" s="2">
        <v>30</v>
      </c>
      <c r="Z58" s="2">
        <v>14</v>
      </c>
      <c r="AA58" s="2">
        <v>3</v>
      </c>
      <c r="AB58" s="2">
        <v>2</v>
      </c>
      <c r="AC58" s="2">
        <v>4</v>
      </c>
      <c r="AD58" s="2">
        <v>13</v>
      </c>
      <c r="AE58" s="2">
        <v>78</v>
      </c>
      <c r="AF58" s="2">
        <v>6</v>
      </c>
      <c r="AG58" s="2">
        <v>30</v>
      </c>
      <c r="AH58" s="2">
        <v>2</v>
      </c>
      <c r="AI58" s="2">
        <v>3</v>
      </c>
      <c r="AJ58" s="2">
        <v>59</v>
      </c>
    </row>
    <row r="59" spans="1:36" x14ac:dyDescent="0.35">
      <c r="A59" t="s">
        <v>210</v>
      </c>
      <c r="B59" t="s">
        <v>211</v>
      </c>
      <c r="C59" s="2">
        <v>21</v>
      </c>
      <c r="D59" s="2">
        <v>17</v>
      </c>
      <c r="E59" s="2">
        <v>40</v>
      </c>
      <c r="F59" s="2">
        <v>22</v>
      </c>
      <c r="G59" s="2">
        <v>47</v>
      </c>
      <c r="H59" s="2">
        <v>53</v>
      </c>
      <c r="I59" s="2">
        <v>92</v>
      </c>
      <c r="J59" s="2">
        <v>0</v>
      </c>
      <c r="K59" s="2">
        <v>2</v>
      </c>
      <c r="L59" s="2">
        <v>1</v>
      </c>
      <c r="M59" s="2">
        <v>3</v>
      </c>
      <c r="N59" s="2">
        <v>3</v>
      </c>
      <c r="O59" s="2">
        <v>30</v>
      </c>
      <c r="P59" s="2">
        <v>26</v>
      </c>
      <c r="Q59" s="2">
        <v>16</v>
      </c>
      <c r="R59" s="2">
        <v>18</v>
      </c>
      <c r="S59" s="2">
        <v>11</v>
      </c>
      <c r="T59" s="2">
        <v>87</v>
      </c>
      <c r="U59" s="2">
        <v>5</v>
      </c>
      <c r="V59" s="2">
        <v>8</v>
      </c>
      <c r="W59" s="2">
        <v>25</v>
      </c>
      <c r="X59" s="2">
        <v>14</v>
      </c>
      <c r="Y59" s="2">
        <v>13</v>
      </c>
      <c r="Z59" s="2">
        <v>35</v>
      </c>
      <c r="AA59" s="2">
        <v>2</v>
      </c>
      <c r="AB59" s="2">
        <v>4</v>
      </c>
      <c r="AC59" s="2">
        <v>7</v>
      </c>
      <c r="AD59" s="2">
        <v>7</v>
      </c>
      <c r="AE59" s="2">
        <v>80</v>
      </c>
      <c r="AF59" s="2">
        <v>38</v>
      </c>
      <c r="AG59" s="2">
        <v>35</v>
      </c>
      <c r="AH59" s="2">
        <v>11</v>
      </c>
      <c r="AI59" s="2">
        <v>3</v>
      </c>
      <c r="AJ59" s="2">
        <v>13</v>
      </c>
    </row>
    <row r="60" spans="1:36" x14ac:dyDescent="0.35">
      <c r="A60" t="s">
        <v>504</v>
      </c>
      <c r="B60" t="s">
        <v>212</v>
      </c>
      <c r="C60" s="2">
        <v>22</v>
      </c>
      <c r="D60" s="2">
        <v>25</v>
      </c>
      <c r="E60" s="2">
        <v>36</v>
      </c>
      <c r="F60" s="2">
        <v>17</v>
      </c>
      <c r="G60" s="2">
        <v>48</v>
      </c>
      <c r="H60" s="2">
        <v>52</v>
      </c>
      <c r="I60" s="2">
        <v>94</v>
      </c>
      <c r="J60" s="2">
        <v>3</v>
      </c>
      <c r="K60" s="2">
        <v>0</v>
      </c>
      <c r="L60" s="2">
        <v>1</v>
      </c>
      <c r="M60" s="2">
        <v>1</v>
      </c>
      <c r="N60" s="2">
        <v>1</v>
      </c>
      <c r="O60" s="2">
        <v>9</v>
      </c>
      <c r="P60" s="2">
        <v>22</v>
      </c>
      <c r="Q60" s="2">
        <v>22</v>
      </c>
      <c r="R60" s="2">
        <v>21</v>
      </c>
      <c r="S60" s="2">
        <v>27</v>
      </c>
      <c r="T60" s="2">
        <v>88</v>
      </c>
      <c r="U60" s="2">
        <v>3</v>
      </c>
      <c r="V60" s="2">
        <v>8</v>
      </c>
      <c r="W60" s="2">
        <v>24</v>
      </c>
      <c r="X60" s="2">
        <v>18</v>
      </c>
      <c r="Y60" s="2">
        <v>25</v>
      </c>
      <c r="Z60" s="2">
        <v>21</v>
      </c>
      <c r="AA60" s="2">
        <v>9</v>
      </c>
      <c r="AB60" s="2">
        <v>4</v>
      </c>
      <c r="AC60" s="2">
        <v>8</v>
      </c>
      <c r="AD60" s="2">
        <v>11</v>
      </c>
      <c r="AE60" s="2">
        <v>68</v>
      </c>
      <c r="AF60" s="2">
        <v>18</v>
      </c>
      <c r="AG60" s="2">
        <v>32</v>
      </c>
      <c r="AH60" s="2">
        <v>14</v>
      </c>
      <c r="AI60" s="2">
        <v>4</v>
      </c>
      <c r="AJ60" s="2">
        <v>32</v>
      </c>
    </row>
    <row r="61" spans="1:36" x14ac:dyDescent="0.35">
      <c r="A61" t="s">
        <v>213</v>
      </c>
      <c r="B61" t="s">
        <v>214</v>
      </c>
      <c r="C61" s="2">
        <v>35</v>
      </c>
      <c r="D61" s="2">
        <v>22</v>
      </c>
      <c r="E61" s="2">
        <v>22</v>
      </c>
      <c r="F61" s="2">
        <v>21</v>
      </c>
      <c r="G61" s="2">
        <v>41</v>
      </c>
      <c r="H61" s="2">
        <v>59</v>
      </c>
      <c r="I61" s="2">
        <v>79</v>
      </c>
      <c r="J61" s="2">
        <v>4</v>
      </c>
      <c r="K61" s="2">
        <v>5</v>
      </c>
      <c r="L61" s="2">
        <v>2</v>
      </c>
      <c r="M61" s="2">
        <v>7</v>
      </c>
      <c r="N61" s="2">
        <v>3</v>
      </c>
      <c r="O61" s="2">
        <v>25</v>
      </c>
      <c r="P61" s="2">
        <v>38</v>
      </c>
      <c r="Q61" s="2">
        <v>16</v>
      </c>
      <c r="R61" s="2">
        <v>13</v>
      </c>
      <c r="S61" s="2">
        <v>9</v>
      </c>
      <c r="T61" s="2">
        <v>81</v>
      </c>
      <c r="U61" s="2">
        <v>5</v>
      </c>
      <c r="V61" s="2">
        <v>14</v>
      </c>
      <c r="W61" s="2">
        <v>17</v>
      </c>
      <c r="X61" s="2">
        <v>11</v>
      </c>
      <c r="Y61" s="2">
        <v>40</v>
      </c>
      <c r="Z61" s="2">
        <v>13</v>
      </c>
      <c r="AA61" s="2">
        <v>4</v>
      </c>
      <c r="AB61" s="2">
        <v>2</v>
      </c>
      <c r="AC61" s="2">
        <v>5</v>
      </c>
      <c r="AD61" s="2">
        <v>12</v>
      </c>
      <c r="AE61" s="2">
        <v>77</v>
      </c>
      <c r="AF61" s="2">
        <v>88</v>
      </c>
      <c r="AG61" s="2">
        <v>2</v>
      </c>
      <c r="AH61" s="2">
        <v>1</v>
      </c>
      <c r="AI61" s="2">
        <v>1</v>
      </c>
      <c r="AJ61" s="2">
        <v>9</v>
      </c>
    </row>
    <row r="62" spans="1:36" x14ac:dyDescent="0.35">
      <c r="A62" t="s">
        <v>494</v>
      </c>
      <c r="B62" t="s">
        <v>280</v>
      </c>
      <c r="C62" s="2">
        <v>30</v>
      </c>
      <c r="D62" s="2">
        <v>25</v>
      </c>
      <c r="E62" s="2">
        <v>33</v>
      </c>
      <c r="F62" s="2">
        <v>12</v>
      </c>
      <c r="G62" s="2">
        <v>44</v>
      </c>
      <c r="H62" s="2">
        <v>56</v>
      </c>
      <c r="I62" s="2">
        <v>91</v>
      </c>
      <c r="J62" s="2">
        <v>3</v>
      </c>
      <c r="K62" s="2">
        <v>1</v>
      </c>
      <c r="L62" s="2">
        <v>1</v>
      </c>
      <c r="M62" s="2">
        <v>3</v>
      </c>
      <c r="N62" s="2">
        <v>2</v>
      </c>
      <c r="O62" s="2">
        <v>23</v>
      </c>
      <c r="P62" s="2">
        <v>14</v>
      </c>
      <c r="Q62" s="2">
        <v>17</v>
      </c>
      <c r="R62" s="2">
        <v>18</v>
      </c>
      <c r="S62" s="2">
        <v>28</v>
      </c>
      <c r="T62" s="2">
        <v>82</v>
      </c>
      <c r="U62" s="2">
        <v>8</v>
      </c>
      <c r="V62" s="2">
        <v>10</v>
      </c>
      <c r="W62" s="2">
        <v>10</v>
      </c>
      <c r="X62" s="2">
        <v>18</v>
      </c>
      <c r="Y62" s="2">
        <v>37</v>
      </c>
      <c r="Z62" s="2">
        <v>18</v>
      </c>
      <c r="AA62" s="2">
        <v>10</v>
      </c>
      <c r="AB62" s="2">
        <v>4</v>
      </c>
      <c r="AC62" s="2">
        <v>10</v>
      </c>
      <c r="AD62" s="2">
        <v>20</v>
      </c>
      <c r="AE62" s="2">
        <v>55</v>
      </c>
      <c r="AF62" s="2">
        <v>25</v>
      </c>
      <c r="AG62" s="2">
        <v>17</v>
      </c>
      <c r="AH62" s="2">
        <v>5</v>
      </c>
      <c r="AI62" s="2">
        <v>1</v>
      </c>
      <c r="AJ62" s="2">
        <v>52</v>
      </c>
    </row>
    <row r="63" spans="1:36" x14ac:dyDescent="0.35">
      <c r="A63" t="s">
        <v>215</v>
      </c>
      <c r="B63" t="s">
        <v>216</v>
      </c>
      <c r="C63" s="2">
        <v>17</v>
      </c>
      <c r="D63" s="2">
        <v>23</v>
      </c>
      <c r="E63" s="2">
        <v>36</v>
      </c>
      <c r="F63" s="2">
        <v>24</v>
      </c>
      <c r="G63" s="2">
        <v>41</v>
      </c>
      <c r="H63" s="2">
        <v>59</v>
      </c>
      <c r="I63" s="2">
        <v>92</v>
      </c>
      <c r="J63" s="2">
        <v>1</v>
      </c>
      <c r="K63" s="2">
        <v>1</v>
      </c>
      <c r="L63" s="2">
        <v>2</v>
      </c>
      <c r="M63" s="2">
        <v>3</v>
      </c>
      <c r="N63" s="2">
        <v>2</v>
      </c>
      <c r="O63" s="2">
        <v>19</v>
      </c>
      <c r="P63" s="2">
        <v>21</v>
      </c>
      <c r="Q63" s="2">
        <v>38</v>
      </c>
      <c r="R63" s="2">
        <v>15</v>
      </c>
      <c r="S63" s="2">
        <v>7</v>
      </c>
      <c r="T63" s="2">
        <v>79</v>
      </c>
      <c r="U63" s="2">
        <v>7</v>
      </c>
      <c r="V63" s="2">
        <v>14</v>
      </c>
      <c r="W63" s="2">
        <v>18</v>
      </c>
      <c r="X63" s="2">
        <v>12</v>
      </c>
      <c r="Y63" s="2">
        <v>26</v>
      </c>
      <c r="Z63" s="2">
        <v>24</v>
      </c>
      <c r="AA63" s="2">
        <v>5</v>
      </c>
      <c r="AB63" s="2">
        <v>3</v>
      </c>
      <c r="AC63" s="2">
        <v>4</v>
      </c>
      <c r="AD63" s="2">
        <v>13</v>
      </c>
      <c r="AE63" s="2">
        <v>75</v>
      </c>
      <c r="AF63" s="2">
        <v>33</v>
      </c>
      <c r="AG63" s="2">
        <v>16</v>
      </c>
      <c r="AH63" s="2">
        <v>6</v>
      </c>
      <c r="AI63" s="2">
        <v>3</v>
      </c>
      <c r="AJ63" s="2">
        <v>42</v>
      </c>
    </row>
    <row r="64" spans="1:36" x14ac:dyDescent="0.35">
      <c r="A64" t="s">
        <v>217</v>
      </c>
      <c r="B64" t="s">
        <v>218</v>
      </c>
      <c r="C64" s="2">
        <v>25</v>
      </c>
      <c r="D64" s="2">
        <v>22</v>
      </c>
      <c r="E64" s="2">
        <v>28</v>
      </c>
      <c r="F64" s="2">
        <v>25</v>
      </c>
      <c r="G64" s="2">
        <v>45</v>
      </c>
      <c r="H64" s="2">
        <v>55</v>
      </c>
      <c r="I64" s="2">
        <v>83</v>
      </c>
      <c r="J64" s="2">
        <v>4</v>
      </c>
      <c r="K64" s="2">
        <v>5</v>
      </c>
      <c r="L64" s="2">
        <v>3</v>
      </c>
      <c r="M64" s="2">
        <v>2</v>
      </c>
      <c r="N64" s="2">
        <v>3</v>
      </c>
      <c r="O64" s="2">
        <v>38</v>
      </c>
      <c r="P64" s="2">
        <v>26</v>
      </c>
      <c r="Q64" s="2">
        <v>16</v>
      </c>
      <c r="R64" s="2">
        <v>14</v>
      </c>
      <c r="S64" s="2">
        <v>7</v>
      </c>
      <c r="T64" s="2">
        <v>86</v>
      </c>
      <c r="U64" s="2">
        <v>5</v>
      </c>
      <c r="V64" s="2">
        <v>9</v>
      </c>
      <c r="W64" s="2">
        <v>17</v>
      </c>
      <c r="X64" s="2">
        <v>13</v>
      </c>
      <c r="Y64" s="2">
        <v>37</v>
      </c>
      <c r="Z64" s="2">
        <v>19</v>
      </c>
      <c r="AA64" s="2">
        <v>2</v>
      </c>
      <c r="AB64" s="2">
        <v>0</v>
      </c>
      <c r="AC64" s="2">
        <v>0</v>
      </c>
      <c r="AD64" s="2">
        <v>5</v>
      </c>
      <c r="AE64" s="2">
        <v>93</v>
      </c>
      <c r="AF64" s="2">
        <v>10</v>
      </c>
      <c r="AG64" s="2">
        <v>5</v>
      </c>
      <c r="AH64" s="2">
        <v>3</v>
      </c>
      <c r="AI64" s="2">
        <v>2</v>
      </c>
      <c r="AJ64" s="2">
        <v>80</v>
      </c>
    </row>
    <row r="65" spans="1:36" x14ac:dyDescent="0.35">
      <c r="A65" t="s">
        <v>219</v>
      </c>
      <c r="B65" t="s">
        <v>220</v>
      </c>
      <c r="C65" s="2">
        <v>15</v>
      </c>
      <c r="D65" s="2">
        <v>23</v>
      </c>
      <c r="E65" s="2">
        <v>32</v>
      </c>
      <c r="F65" s="2">
        <v>30</v>
      </c>
      <c r="G65" s="2">
        <v>40</v>
      </c>
      <c r="H65" s="2">
        <v>60</v>
      </c>
      <c r="I65" s="2">
        <v>89</v>
      </c>
      <c r="J65" s="2">
        <v>0</v>
      </c>
      <c r="K65" s="2">
        <v>1</v>
      </c>
      <c r="L65" s="2">
        <v>3</v>
      </c>
      <c r="M65" s="2">
        <v>2</v>
      </c>
      <c r="N65" s="2">
        <v>5</v>
      </c>
      <c r="O65" s="2">
        <v>14</v>
      </c>
      <c r="P65" s="2">
        <v>23</v>
      </c>
      <c r="Q65" s="2">
        <v>30</v>
      </c>
      <c r="R65" s="2">
        <v>23</v>
      </c>
      <c r="S65" s="2">
        <v>11</v>
      </c>
      <c r="T65" s="2">
        <v>72</v>
      </c>
      <c r="U65" s="2">
        <v>3</v>
      </c>
      <c r="V65" s="2">
        <v>25</v>
      </c>
      <c r="W65" s="2">
        <v>9</v>
      </c>
      <c r="X65" s="2">
        <v>16</v>
      </c>
      <c r="Y65" s="2">
        <v>34</v>
      </c>
      <c r="Z65" s="2">
        <v>13</v>
      </c>
      <c r="AA65" s="2">
        <v>3</v>
      </c>
      <c r="AB65" s="2">
        <v>3</v>
      </c>
      <c r="AC65" s="2">
        <v>6</v>
      </c>
      <c r="AD65" s="2">
        <v>11</v>
      </c>
      <c r="AE65" s="2">
        <v>78</v>
      </c>
      <c r="AF65" s="2">
        <v>25</v>
      </c>
      <c r="AG65" s="2">
        <v>17</v>
      </c>
      <c r="AH65" s="2">
        <v>14</v>
      </c>
      <c r="AI65" s="2">
        <v>3</v>
      </c>
      <c r="AJ65" s="2">
        <v>41</v>
      </c>
    </row>
    <row r="66" spans="1:36" x14ac:dyDescent="0.35">
      <c r="A66" t="s">
        <v>221</v>
      </c>
      <c r="B66" t="s">
        <v>222</v>
      </c>
      <c r="C66" s="2">
        <v>29</v>
      </c>
      <c r="D66" s="2">
        <v>21</v>
      </c>
      <c r="E66" s="2">
        <v>25</v>
      </c>
      <c r="F66" s="2">
        <v>25</v>
      </c>
      <c r="G66" s="2">
        <v>43</v>
      </c>
      <c r="H66" s="2">
        <v>57</v>
      </c>
      <c r="I66" s="2">
        <v>63</v>
      </c>
      <c r="J66" s="2">
        <v>7</v>
      </c>
      <c r="K66" s="2">
        <v>13</v>
      </c>
      <c r="L66" s="2">
        <v>4</v>
      </c>
      <c r="M66" s="2">
        <v>9</v>
      </c>
      <c r="N66" s="2">
        <v>5</v>
      </c>
      <c r="O66" s="2">
        <v>4</v>
      </c>
      <c r="P66" s="2">
        <v>11</v>
      </c>
      <c r="Q66" s="2">
        <v>23</v>
      </c>
      <c r="R66" s="2">
        <v>32</v>
      </c>
      <c r="S66" s="2">
        <v>30</v>
      </c>
      <c r="T66" s="2">
        <v>63</v>
      </c>
      <c r="U66" s="2">
        <v>9</v>
      </c>
      <c r="V66" s="2">
        <v>29</v>
      </c>
      <c r="W66" s="2">
        <v>23</v>
      </c>
      <c r="X66" s="2">
        <v>13</v>
      </c>
      <c r="Y66" s="2">
        <v>18</v>
      </c>
      <c r="Z66" s="2">
        <v>9</v>
      </c>
      <c r="AA66" s="2">
        <v>4</v>
      </c>
      <c r="AB66" s="2">
        <v>0</v>
      </c>
      <c r="AC66" s="2">
        <v>4</v>
      </c>
      <c r="AD66" s="2">
        <v>2</v>
      </c>
      <c r="AE66" s="2">
        <v>91</v>
      </c>
      <c r="AF66" s="2">
        <v>9</v>
      </c>
      <c r="AG66" s="2">
        <v>4</v>
      </c>
      <c r="AH66" s="2">
        <v>0</v>
      </c>
      <c r="AI66" s="2">
        <v>2</v>
      </c>
      <c r="AJ66" s="2">
        <v>86</v>
      </c>
    </row>
    <row r="67" spans="1:36" x14ac:dyDescent="0.35">
      <c r="A67" t="s">
        <v>499</v>
      </c>
      <c r="B67" t="s">
        <v>223</v>
      </c>
      <c r="C67" s="2">
        <v>14</v>
      </c>
      <c r="D67" s="2">
        <v>27</v>
      </c>
      <c r="E67" s="2">
        <v>37</v>
      </c>
      <c r="F67" s="2">
        <v>23</v>
      </c>
      <c r="G67" s="2">
        <v>52</v>
      </c>
      <c r="H67" s="2">
        <v>48</v>
      </c>
      <c r="I67" s="2">
        <v>89</v>
      </c>
      <c r="J67" s="2">
        <v>2</v>
      </c>
      <c r="K67" s="2">
        <v>0</v>
      </c>
      <c r="L67" s="2">
        <v>4</v>
      </c>
      <c r="M67" s="2">
        <v>3</v>
      </c>
      <c r="N67" s="2">
        <v>2</v>
      </c>
      <c r="O67" s="2">
        <v>18</v>
      </c>
      <c r="P67" s="2">
        <v>23</v>
      </c>
      <c r="Q67" s="2">
        <v>15</v>
      </c>
      <c r="R67" s="2">
        <v>14</v>
      </c>
      <c r="S67" s="2">
        <v>29</v>
      </c>
      <c r="T67" s="2">
        <v>90</v>
      </c>
      <c r="U67" s="2">
        <v>5</v>
      </c>
      <c r="V67" s="2">
        <v>5</v>
      </c>
      <c r="W67" s="2">
        <v>27</v>
      </c>
      <c r="X67" s="2">
        <v>16</v>
      </c>
      <c r="Y67" s="2">
        <v>22</v>
      </c>
      <c r="Z67" s="2">
        <v>26</v>
      </c>
      <c r="AA67" s="2">
        <v>4</v>
      </c>
      <c r="AB67" s="2">
        <v>2</v>
      </c>
      <c r="AC67" s="2">
        <v>5</v>
      </c>
      <c r="AD67" s="2">
        <v>8</v>
      </c>
      <c r="AE67" s="2">
        <v>81</v>
      </c>
      <c r="AF67" s="2">
        <v>48</v>
      </c>
      <c r="AG67" s="2">
        <v>22</v>
      </c>
      <c r="AH67" s="2">
        <v>7</v>
      </c>
      <c r="AI67" s="2">
        <v>2</v>
      </c>
      <c r="AJ67" s="2">
        <v>20</v>
      </c>
    </row>
    <row r="68" spans="1:36" x14ac:dyDescent="0.35">
      <c r="A68" t="s">
        <v>224</v>
      </c>
      <c r="B68" t="s">
        <v>225</v>
      </c>
      <c r="C68" s="2">
        <v>23</v>
      </c>
      <c r="D68" s="2">
        <v>22</v>
      </c>
      <c r="E68" s="2">
        <v>33</v>
      </c>
      <c r="F68" s="2">
        <v>22</v>
      </c>
      <c r="G68" s="2">
        <v>41</v>
      </c>
      <c r="H68" s="2">
        <v>59</v>
      </c>
      <c r="I68" s="2">
        <v>87</v>
      </c>
      <c r="J68" s="2">
        <v>3</v>
      </c>
      <c r="K68" s="2">
        <v>2</v>
      </c>
      <c r="L68" s="2">
        <v>1</v>
      </c>
      <c r="M68" s="2">
        <v>3</v>
      </c>
      <c r="N68" s="2">
        <v>4</v>
      </c>
      <c r="O68" s="2">
        <v>23</v>
      </c>
      <c r="P68" s="2">
        <v>26</v>
      </c>
      <c r="Q68" s="2">
        <v>26</v>
      </c>
      <c r="R68" s="2">
        <v>13</v>
      </c>
      <c r="S68" s="2">
        <v>12</v>
      </c>
      <c r="T68" s="2">
        <v>71</v>
      </c>
      <c r="U68" s="2">
        <v>3</v>
      </c>
      <c r="V68" s="2">
        <v>26</v>
      </c>
      <c r="W68" s="2">
        <v>20</v>
      </c>
      <c r="X68" s="2">
        <v>16</v>
      </c>
      <c r="Y68" s="2">
        <v>15</v>
      </c>
      <c r="Z68" s="2">
        <v>21</v>
      </c>
      <c r="AA68" s="2">
        <v>6</v>
      </c>
      <c r="AB68" s="2">
        <v>6</v>
      </c>
      <c r="AC68" s="2">
        <v>9</v>
      </c>
      <c r="AD68" s="2">
        <v>20</v>
      </c>
      <c r="AE68" s="2">
        <v>60</v>
      </c>
      <c r="AF68" s="2">
        <v>50</v>
      </c>
      <c r="AG68" s="2">
        <v>13</v>
      </c>
      <c r="AH68" s="2">
        <v>4</v>
      </c>
      <c r="AI68" s="2">
        <v>4</v>
      </c>
      <c r="AJ68" s="2">
        <v>28</v>
      </c>
    </row>
    <row r="69" spans="1:36" x14ac:dyDescent="0.35">
      <c r="A69" t="s">
        <v>226</v>
      </c>
      <c r="B69" t="s">
        <v>227</v>
      </c>
      <c r="C69" s="2">
        <v>24</v>
      </c>
      <c r="D69" s="2">
        <v>25</v>
      </c>
      <c r="E69" s="2">
        <v>34</v>
      </c>
      <c r="F69" s="2">
        <v>17</v>
      </c>
      <c r="G69" s="2">
        <v>40</v>
      </c>
      <c r="H69" s="2">
        <v>60</v>
      </c>
      <c r="I69" s="2">
        <v>87</v>
      </c>
      <c r="J69" s="2">
        <v>3</v>
      </c>
      <c r="K69" s="2">
        <v>3</v>
      </c>
      <c r="L69" s="2">
        <v>2</v>
      </c>
      <c r="M69" s="2">
        <v>1</v>
      </c>
      <c r="N69" s="2">
        <v>5</v>
      </c>
      <c r="O69" s="2">
        <v>27</v>
      </c>
      <c r="P69" s="2">
        <v>37</v>
      </c>
      <c r="Q69" s="2">
        <v>11</v>
      </c>
      <c r="R69" s="2">
        <v>12</v>
      </c>
      <c r="S69" s="2">
        <v>13</v>
      </c>
      <c r="T69" s="2">
        <v>81</v>
      </c>
      <c r="U69" s="2">
        <v>7</v>
      </c>
      <c r="V69" s="2">
        <v>12</v>
      </c>
      <c r="W69" s="2">
        <v>22</v>
      </c>
      <c r="X69" s="2">
        <v>12</v>
      </c>
      <c r="Y69" s="2">
        <v>25</v>
      </c>
      <c r="Z69" s="2">
        <v>21</v>
      </c>
      <c r="AA69" s="2">
        <v>2</v>
      </c>
      <c r="AB69" s="2">
        <v>2</v>
      </c>
      <c r="AC69" s="2">
        <v>4</v>
      </c>
      <c r="AD69" s="2">
        <v>3</v>
      </c>
      <c r="AE69" s="2">
        <v>89</v>
      </c>
      <c r="AF69" s="2">
        <v>11</v>
      </c>
      <c r="AG69" s="2">
        <v>4</v>
      </c>
      <c r="AH69" s="2">
        <v>1</v>
      </c>
      <c r="AI69" s="2">
        <v>2</v>
      </c>
      <c r="AJ69" s="2">
        <v>82</v>
      </c>
    </row>
    <row r="70" spans="1:36" x14ac:dyDescent="0.35">
      <c r="A70" t="s">
        <v>486</v>
      </c>
      <c r="B70" t="s">
        <v>249</v>
      </c>
      <c r="C70" s="2">
        <v>22</v>
      </c>
      <c r="D70" s="2">
        <v>27</v>
      </c>
      <c r="E70" s="2">
        <v>31</v>
      </c>
      <c r="F70" s="2">
        <v>20</v>
      </c>
      <c r="G70" s="2">
        <v>39</v>
      </c>
      <c r="H70" s="2">
        <v>61</v>
      </c>
      <c r="I70" s="2">
        <v>84</v>
      </c>
      <c r="J70" s="2">
        <v>7</v>
      </c>
      <c r="K70" s="2">
        <v>2</v>
      </c>
      <c r="L70" s="2">
        <v>1</v>
      </c>
      <c r="M70" s="2">
        <v>3</v>
      </c>
      <c r="N70" s="2">
        <v>3</v>
      </c>
      <c r="O70" s="2">
        <v>7</v>
      </c>
      <c r="P70" s="2">
        <v>23</v>
      </c>
      <c r="Q70" s="2">
        <v>16</v>
      </c>
      <c r="R70" s="2">
        <v>17</v>
      </c>
      <c r="S70" s="2">
        <v>37</v>
      </c>
      <c r="T70" s="2">
        <v>67</v>
      </c>
      <c r="U70" s="2">
        <v>4</v>
      </c>
      <c r="V70" s="2">
        <v>29</v>
      </c>
      <c r="W70" s="2">
        <v>21</v>
      </c>
      <c r="X70" s="2">
        <v>17</v>
      </c>
      <c r="Y70" s="2">
        <v>17</v>
      </c>
      <c r="Z70" s="2">
        <v>12</v>
      </c>
      <c r="AA70" s="2">
        <v>5</v>
      </c>
      <c r="AB70" s="2">
        <v>5</v>
      </c>
      <c r="AC70" s="2">
        <v>6</v>
      </c>
      <c r="AD70" s="2">
        <v>19</v>
      </c>
      <c r="AE70" s="2">
        <v>64</v>
      </c>
      <c r="AF70" s="2">
        <v>21</v>
      </c>
      <c r="AG70" s="2">
        <v>19</v>
      </c>
      <c r="AH70" s="2">
        <v>8</v>
      </c>
      <c r="AI70" s="2">
        <v>6</v>
      </c>
      <c r="AJ70" s="2">
        <v>46</v>
      </c>
    </row>
    <row r="71" spans="1:36" x14ac:dyDescent="0.35">
      <c r="A71" t="s">
        <v>228</v>
      </c>
      <c r="B71" t="s">
        <v>229</v>
      </c>
      <c r="C71" s="2">
        <v>21</v>
      </c>
      <c r="D71" s="2">
        <v>26</v>
      </c>
      <c r="E71" s="2">
        <v>32</v>
      </c>
      <c r="F71" s="2">
        <v>21</v>
      </c>
      <c r="G71" s="2">
        <v>34</v>
      </c>
      <c r="H71" s="2">
        <v>66</v>
      </c>
      <c r="I71" s="2">
        <v>92</v>
      </c>
      <c r="J71" s="2">
        <v>1</v>
      </c>
      <c r="K71" s="2">
        <v>1</v>
      </c>
      <c r="L71" s="2">
        <v>0</v>
      </c>
      <c r="M71" s="2">
        <v>5</v>
      </c>
      <c r="N71" s="2">
        <v>0</v>
      </c>
      <c r="O71" s="2">
        <v>17</v>
      </c>
      <c r="P71" s="2">
        <v>16</v>
      </c>
      <c r="Q71" s="2">
        <v>23</v>
      </c>
      <c r="R71" s="2">
        <v>27</v>
      </c>
      <c r="S71" s="2">
        <v>17</v>
      </c>
      <c r="T71" s="2">
        <v>95</v>
      </c>
      <c r="U71" s="2">
        <v>4</v>
      </c>
      <c r="V71" s="2">
        <v>1</v>
      </c>
      <c r="W71" s="2">
        <v>14</v>
      </c>
      <c r="X71" s="2">
        <v>25</v>
      </c>
      <c r="Y71" s="2">
        <v>42</v>
      </c>
      <c r="Z71" s="2">
        <v>14</v>
      </c>
      <c r="AA71" s="2">
        <v>9</v>
      </c>
      <c r="AB71" s="2">
        <v>3</v>
      </c>
      <c r="AC71" s="2">
        <v>9</v>
      </c>
      <c r="AD71" s="2">
        <v>19</v>
      </c>
      <c r="AE71" s="2">
        <v>60</v>
      </c>
      <c r="AF71" s="2">
        <v>23</v>
      </c>
      <c r="AG71" s="2">
        <v>26</v>
      </c>
      <c r="AH71" s="2">
        <v>8</v>
      </c>
      <c r="AI71" s="2">
        <v>4</v>
      </c>
      <c r="AJ71" s="2">
        <v>39</v>
      </c>
    </row>
    <row r="72" spans="1:36" x14ac:dyDescent="0.35">
      <c r="A72" t="s">
        <v>230</v>
      </c>
      <c r="B72" t="s">
        <v>231</v>
      </c>
      <c r="C72" s="2">
        <v>13</v>
      </c>
      <c r="D72" s="2">
        <v>24</v>
      </c>
      <c r="E72" s="2">
        <v>40</v>
      </c>
      <c r="F72" s="2">
        <v>23</v>
      </c>
      <c r="G72" s="2">
        <v>45</v>
      </c>
      <c r="H72" s="2">
        <v>55</v>
      </c>
      <c r="I72" s="2">
        <v>92</v>
      </c>
      <c r="J72" s="2">
        <v>1</v>
      </c>
      <c r="K72" s="2">
        <v>2</v>
      </c>
      <c r="L72" s="2">
        <v>1</v>
      </c>
      <c r="M72" s="2">
        <v>0</v>
      </c>
      <c r="N72" s="2">
        <v>3</v>
      </c>
      <c r="O72" s="2">
        <v>23</v>
      </c>
      <c r="P72" s="2">
        <v>19</v>
      </c>
      <c r="Q72" s="2">
        <v>18</v>
      </c>
      <c r="R72" s="2">
        <v>23</v>
      </c>
      <c r="S72" s="2">
        <v>16</v>
      </c>
      <c r="T72" s="2">
        <v>88</v>
      </c>
      <c r="U72" s="2">
        <v>2</v>
      </c>
      <c r="V72" s="2">
        <v>10</v>
      </c>
      <c r="W72" s="2">
        <v>29</v>
      </c>
      <c r="X72" s="2">
        <v>11</v>
      </c>
      <c r="Y72" s="2">
        <v>25</v>
      </c>
      <c r="Z72" s="2">
        <v>23</v>
      </c>
      <c r="AA72" s="2">
        <v>1</v>
      </c>
      <c r="AB72" s="2">
        <v>5</v>
      </c>
      <c r="AC72" s="2">
        <v>10</v>
      </c>
      <c r="AD72" s="2">
        <v>12</v>
      </c>
      <c r="AE72" s="2">
        <v>73</v>
      </c>
      <c r="AF72" s="2">
        <v>35</v>
      </c>
      <c r="AG72" s="2">
        <v>22</v>
      </c>
      <c r="AH72" s="2">
        <v>6</v>
      </c>
      <c r="AI72" s="2">
        <v>5</v>
      </c>
      <c r="AJ72" s="2">
        <v>32</v>
      </c>
    </row>
    <row r="73" spans="1:36" x14ac:dyDescent="0.35">
      <c r="A73" t="s">
        <v>232</v>
      </c>
      <c r="B73" t="s">
        <v>233</v>
      </c>
      <c r="C73" s="2">
        <v>24</v>
      </c>
      <c r="D73" s="2">
        <v>21</v>
      </c>
      <c r="E73" s="2">
        <v>31</v>
      </c>
      <c r="F73" s="2">
        <v>23</v>
      </c>
      <c r="G73" s="2">
        <v>40</v>
      </c>
      <c r="H73" s="2">
        <v>60</v>
      </c>
      <c r="I73" s="2">
        <v>70</v>
      </c>
      <c r="J73" s="2">
        <v>5</v>
      </c>
      <c r="K73" s="2">
        <v>2</v>
      </c>
      <c r="L73" s="2">
        <v>5</v>
      </c>
      <c r="M73" s="2">
        <v>8</v>
      </c>
      <c r="N73" s="2">
        <v>10</v>
      </c>
      <c r="O73" s="2">
        <v>28</v>
      </c>
      <c r="P73" s="2">
        <v>22</v>
      </c>
      <c r="Q73" s="2">
        <v>16</v>
      </c>
      <c r="R73" s="2">
        <v>14</v>
      </c>
      <c r="S73" s="2">
        <v>20</v>
      </c>
      <c r="T73" s="2">
        <v>76</v>
      </c>
      <c r="U73" s="2">
        <v>5</v>
      </c>
      <c r="V73" s="2">
        <v>19</v>
      </c>
      <c r="W73" s="2">
        <v>20</v>
      </c>
      <c r="X73" s="2">
        <v>14</v>
      </c>
      <c r="Y73" s="2">
        <v>25</v>
      </c>
      <c r="Z73" s="2">
        <v>18</v>
      </c>
      <c r="AA73" s="2">
        <v>12</v>
      </c>
      <c r="AB73" s="2">
        <v>6</v>
      </c>
      <c r="AC73" s="2">
        <v>10</v>
      </c>
      <c r="AD73" s="2">
        <v>24</v>
      </c>
      <c r="AE73" s="2">
        <v>48</v>
      </c>
      <c r="AF73" s="2">
        <v>33</v>
      </c>
      <c r="AG73" s="2">
        <v>28</v>
      </c>
      <c r="AH73" s="2">
        <v>10</v>
      </c>
      <c r="AI73" s="2">
        <v>12</v>
      </c>
      <c r="AJ73" s="2">
        <v>18</v>
      </c>
    </row>
    <row r="74" spans="1:36" x14ac:dyDescent="0.35">
      <c r="A74" t="s">
        <v>234</v>
      </c>
      <c r="B74" t="s">
        <v>235</v>
      </c>
      <c r="C74" s="2">
        <v>25</v>
      </c>
      <c r="D74" s="2">
        <v>24</v>
      </c>
      <c r="E74" s="2">
        <v>32</v>
      </c>
      <c r="F74" s="2">
        <v>19</v>
      </c>
      <c r="G74" s="2">
        <v>39</v>
      </c>
      <c r="H74" s="2">
        <v>61</v>
      </c>
      <c r="I74" s="2">
        <v>70</v>
      </c>
      <c r="J74" s="2">
        <v>5</v>
      </c>
      <c r="K74" s="2">
        <v>2</v>
      </c>
      <c r="L74" s="2">
        <v>3</v>
      </c>
      <c r="M74" s="2">
        <v>6</v>
      </c>
      <c r="N74" s="2">
        <v>15</v>
      </c>
      <c r="O74" s="2">
        <v>50</v>
      </c>
      <c r="P74" s="2">
        <v>26</v>
      </c>
      <c r="Q74" s="2">
        <v>11</v>
      </c>
      <c r="R74" s="2">
        <v>7</v>
      </c>
      <c r="S74" s="2">
        <v>6</v>
      </c>
      <c r="T74" s="2">
        <v>77</v>
      </c>
      <c r="U74" s="2">
        <v>9</v>
      </c>
      <c r="V74" s="2">
        <v>14</v>
      </c>
      <c r="W74" s="2">
        <v>5</v>
      </c>
      <c r="X74" s="2">
        <v>15</v>
      </c>
      <c r="Y74" s="2">
        <v>35</v>
      </c>
      <c r="Z74" s="2">
        <v>23</v>
      </c>
      <c r="AA74" s="2">
        <v>2</v>
      </c>
      <c r="AB74" s="2">
        <v>3</v>
      </c>
      <c r="AC74" s="2">
        <v>3</v>
      </c>
      <c r="AD74" s="2">
        <v>8</v>
      </c>
      <c r="AE74" s="2">
        <v>84</v>
      </c>
      <c r="AF74" s="2">
        <v>13</v>
      </c>
      <c r="AG74" s="2">
        <v>7</v>
      </c>
      <c r="AH74" s="2">
        <v>3</v>
      </c>
      <c r="AI74" s="2">
        <v>2</v>
      </c>
      <c r="AJ74" s="2">
        <v>75</v>
      </c>
    </row>
    <row r="75" spans="1:36" x14ac:dyDescent="0.35">
      <c r="A75" t="s">
        <v>478</v>
      </c>
      <c r="B75" t="s">
        <v>238</v>
      </c>
      <c r="C75" s="2">
        <v>17</v>
      </c>
      <c r="D75" s="2">
        <v>25</v>
      </c>
      <c r="E75" s="2">
        <v>36</v>
      </c>
      <c r="F75" s="2">
        <v>21</v>
      </c>
      <c r="G75" s="2">
        <v>45</v>
      </c>
      <c r="H75" s="2">
        <v>55</v>
      </c>
      <c r="I75" s="2">
        <v>54</v>
      </c>
      <c r="J75" s="2">
        <v>8</v>
      </c>
      <c r="K75" s="2">
        <v>5</v>
      </c>
      <c r="L75" s="2">
        <v>8</v>
      </c>
      <c r="M75" s="2">
        <v>13</v>
      </c>
      <c r="N75" s="2">
        <v>13</v>
      </c>
      <c r="O75" s="2">
        <v>31</v>
      </c>
      <c r="P75" s="2">
        <v>21</v>
      </c>
      <c r="Q75" s="2">
        <v>23</v>
      </c>
      <c r="R75" s="2">
        <v>15</v>
      </c>
      <c r="S75" s="2">
        <v>10</v>
      </c>
      <c r="T75" s="2">
        <v>84</v>
      </c>
      <c r="U75" s="2">
        <v>4</v>
      </c>
      <c r="V75" s="2">
        <v>13</v>
      </c>
      <c r="W75" s="2">
        <v>20</v>
      </c>
      <c r="X75" s="2">
        <v>12</v>
      </c>
      <c r="Y75" s="2">
        <v>44</v>
      </c>
      <c r="Z75" s="2">
        <v>8</v>
      </c>
      <c r="AA75" s="2">
        <v>5</v>
      </c>
      <c r="AB75" s="2">
        <v>4</v>
      </c>
      <c r="AC75" s="2">
        <v>6</v>
      </c>
      <c r="AD75" s="2">
        <v>16</v>
      </c>
      <c r="AE75" s="2">
        <v>69</v>
      </c>
      <c r="AF75" s="2">
        <v>43</v>
      </c>
      <c r="AG75" s="2">
        <v>32</v>
      </c>
      <c r="AH75" s="2">
        <v>8</v>
      </c>
      <c r="AI75" s="2">
        <v>9</v>
      </c>
      <c r="AJ75" s="2">
        <v>9</v>
      </c>
    </row>
    <row r="76" spans="1:36" x14ac:dyDescent="0.35">
      <c r="A76" t="s">
        <v>491</v>
      </c>
      <c r="B76" t="s">
        <v>281</v>
      </c>
      <c r="C76" s="2">
        <v>17</v>
      </c>
      <c r="D76" s="2">
        <v>29</v>
      </c>
      <c r="E76" s="2">
        <v>38</v>
      </c>
      <c r="F76" s="2">
        <v>16</v>
      </c>
      <c r="G76" s="2">
        <v>38</v>
      </c>
      <c r="H76" s="2">
        <v>62</v>
      </c>
      <c r="I76" s="2">
        <v>87</v>
      </c>
      <c r="J76" s="2">
        <v>6</v>
      </c>
      <c r="K76" s="2">
        <v>2</v>
      </c>
      <c r="L76" s="2">
        <v>1</v>
      </c>
      <c r="M76" s="2">
        <v>2</v>
      </c>
      <c r="N76" s="2">
        <v>3</v>
      </c>
      <c r="O76" s="2">
        <v>36</v>
      </c>
      <c r="P76" s="2">
        <v>23</v>
      </c>
      <c r="Q76" s="2">
        <v>21</v>
      </c>
      <c r="R76" s="2">
        <v>19</v>
      </c>
      <c r="S76" s="2">
        <v>1</v>
      </c>
      <c r="T76" s="2">
        <v>71</v>
      </c>
      <c r="U76" s="2">
        <v>7</v>
      </c>
      <c r="V76" s="2">
        <v>22</v>
      </c>
      <c r="W76" s="2">
        <v>17</v>
      </c>
      <c r="X76" s="2">
        <v>13</v>
      </c>
      <c r="Y76" s="2">
        <v>18</v>
      </c>
      <c r="Z76" s="2">
        <v>22</v>
      </c>
      <c r="AA76" s="2">
        <v>1</v>
      </c>
      <c r="AB76" s="2">
        <v>1</v>
      </c>
      <c r="AC76" s="2">
        <v>0</v>
      </c>
      <c r="AD76" s="2">
        <v>0</v>
      </c>
      <c r="AE76" s="2">
        <v>98</v>
      </c>
      <c r="AF76" s="2">
        <v>6</v>
      </c>
      <c r="AG76" s="2">
        <v>4</v>
      </c>
      <c r="AH76" s="2">
        <v>2</v>
      </c>
      <c r="AI76" s="2">
        <v>2</v>
      </c>
      <c r="AJ76" s="2">
        <v>87</v>
      </c>
    </row>
    <row r="77" spans="1:36" x14ac:dyDescent="0.35">
      <c r="A77" t="s">
        <v>471</v>
      </c>
      <c r="B77" t="s">
        <v>282</v>
      </c>
      <c r="C77" s="2">
        <v>17</v>
      </c>
      <c r="D77" s="2">
        <v>18</v>
      </c>
      <c r="E77" s="2">
        <v>45</v>
      </c>
      <c r="F77" s="2">
        <v>20</v>
      </c>
      <c r="G77" s="2">
        <v>35</v>
      </c>
      <c r="H77" s="2">
        <v>65</v>
      </c>
      <c r="I77" s="2">
        <v>94</v>
      </c>
      <c r="J77" s="2">
        <v>2</v>
      </c>
      <c r="K77" s="2">
        <v>0</v>
      </c>
      <c r="L77" s="2">
        <v>2</v>
      </c>
      <c r="M77" s="2">
        <v>1</v>
      </c>
      <c r="N77" s="2">
        <v>2</v>
      </c>
      <c r="O77" s="2">
        <v>5</v>
      </c>
      <c r="P77" s="2">
        <v>12</v>
      </c>
      <c r="Q77" s="2">
        <v>32</v>
      </c>
      <c r="R77" s="2">
        <v>37</v>
      </c>
      <c r="S77" s="2">
        <v>15</v>
      </c>
      <c r="T77" s="2">
        <v>78</v>
      </c>
      <c r="U77" s="2">
        <v>3</v>
      </c>
      <c r="V77" s="2">
        <v>18</v>
      </c>
      <c r="W77" s="2">
        <v>17</v>
      </c>
      <c r="X77" s="2">
        <v>18</v>
      </c>
      <c r="Y77" s="2">
        <v>30</v>
      </c>
      <c r="Z77" s="2">
        <v>13</v>
      </c>
      <c r="AA77" s="2">
        <v>12</v>
      </c>
      <c r="AB77" s="2">
        <v>10</v>
      </c>
      <c r="AC77" s="2">
        <v>8</v>
      </c>
      <c r="AD77" s="2">
        <v>26</v>
      </c>
      <c r="AE77" s="2">
        <v>44</v>
      </c>
      <c r="AF77" s="2">
        <v>40</v>
      </c>
      <c r="AG77" s="2">
        <v>18</v>
      </c>
      <c r="AH77" s="2">
        <v>10</v>
      </c>
      <c r="AI77" s="2">
        <v>3</v>
      </c>
      <c r="AJ77" s="2">
        <v>29</v>
      </c>
    </row>
    <row r="78" spans="1:36" x14ac:dyDescent="0.35">
      <c r="A78" t="s">
        <v>475</v>
      </c>
      <c r="B78" t="s">
        <v>283</v>
      </c>
      <c r="C78" s="2">
        <v>25</v>
      </c>
      <c r="D78" s="2">
        <v>17</v>
      </c>
      <c r="E78" s="2">
        <v>34</v>
      </c>
      <c r="F78" s="2">
        <v>24</v>
      </c>
      <c r="G78" s="2">
        <v>46</v>
      </c>
      <c r="H78" s="2">
        <v>54</v>
      </c>
      <c r="I78" s="2">
        <v>92</v>
      </c>
      <c r="J78" s="2">
        <v>0</v>
      </c>
      <c r="K78" s="2">
        <v>1</v>
      </c>
      <c r="L78" s="2">
        <v>1</v>
      </c>
      <c r="M78" s="2">
        <v>2</v>
      </c>
      <c r="N78" s="2">
        <v>4</v>
      </c>
      <c r="O78" s="2">
        <v>4</v>
      </c>
      <c r="P78" s="2">
        <v>26</v>
      </c>
      <c r="Q78" s="2">
        <v>26</v>
      </c>
      <c r="R78" s="2">
        <v>16</v>
      </c>
      <c r="S78" s="2">
        <v>27</v>
      </c>
      <c r="T78" s="2">
        <v>54</v>
      </c>
      <c r="U78" s="2">
        <v>9</v>
      </c>
      <c r="V78" s="2">
        <v>37</v>
      </c>
      <c r="W78" s="2">
        <v>8</v>
      </c>
      <c r="X78" s="2">
        <v>16</v>
      </c>
      <c r="Y78" s="2">
        <v>6</v>
      </c>
      <c r="Z78" s="2">
        <v>23</v>
      </c>
      <c r="AA78" s="2">
        <v>1</v>
      </c>
      <c r="AB78" s="2">
        <v>0</v>
      </c>
      <c r="AC78" s="2">
        <v>0</v>
      </c>
      <c r="AD78" s="2">
        <v>0</v>
      </c>
      <c r="AE78" s="2">
        <v>99</v>
      </c>
      <c r="AF78" s="2">
        <v>23</v>
      </c>
      <c r="AG78" s="2">
        <v>34</v>
      </c>
      <c r="AH78" s="2">
        <v>11</v>
      </c>
      <c r="AI78" s="2">
        <v>0</v>
      </c>
      <c r="AJ78" s="2">
        <v>33</v>
      </c>
    </row>
    <row r="79" spans="1:36" x14ac:dyDescent="0.35">
      <c r="A79" t="s">
        <v>239</v>
      </c>
      <c r="B79" t="s">
        <v>240</v>
      </c>
      <c r="C79" s="2">
        <v>21</v>
      </c>
      <c r="D79" s="2">
        <v>19</v>
      </c>
      <c r="E79" s="2">
        <v>37</v>
      </c>
      <c r="F79" s="2">
        <v>23</v>
      </c>
      <c r="G79" s="2">
        <v>45</v>
      </c>
      <c r="H79" s="2">
        <v>55</v>
      </c>
      <c r="I79" s="2">
        <v>83</v>
      </c>
      <c r="J79" s="2">
        <v>5</v>
      </c>
      <c r="K79" s="2">
        <v>1</v>
      </c>
      <c r="L79" s="2">
        <v>3</v>
      </c>
      <c r="M79" s="2">
        <v>6</v>
      </c>
      <c r="N79" s="2">
        <v>2</v>
      </c>
      <c r="O79" s="2">
        <v>60</v>
      </c>
      <c r="P79" s="2">
        <v>18</v>
      </c>
      <c r="Q79" s="2">
        <v>8</v>
      </c>
      <c r="R79" s="2">
        <v>13</v>
      </c>
      <c r="S79" s="2">
        <v>1</v>
      </c>
      <c r="T79" s="2">
        <v>84</v>
      </c>
      <c r="U79" s="2">
        <v>5</v>
      </c>
      <c r="V79" s="2">
        <v>11</v>
      </c>
      <c r="W79" s="2">
        <v>18</v>
      </c>
      <c r="X79" s="2">
        <v>17</v>
      </c>
      <c r="Y79" s="2">
        <v>28</v>
      </c>
      <c r="Z79" s="2">
        <v>21</v>
      </c>
      <c r="AA79" s="2">
        <v>6</v>
      </c>
      <c r="AB79" s="2">
        <v>8</v>
      </c>
      <c r="AC79" s="2">
        <v>13</v>
      </c>
      <c r="AD79" s="2">
        <v>18</v>
      </c>
      <c r="AE79" s="2">
        <v>54</v>
      </c>
      <c r="AF79" s="2">
        <v>15</v>
      </c>
      <c r="AG79" s="2">
        <v>6</v>
      </c>
      <c r="AH79" s="2">
        <v>2</v>
      </c>
      <c r="AI79" s="2">
        <v>3</v>
      </c>
      <c r="AJ79" s="2">
        <v>75</v>
      </c>
    </row>
    <row r="80" spans="1:36" x14ac:dyDescent="0.35">
      <c r="A80" t="s">
        <v>241</v>
      </c>
      <c r="B80" t="s">
        <v>242</v>
      </c>
      <c r="C80" s="2">
        <v>14</v>
      </c>
      <c r="D80" s="2">
        <v>26</v>
      </c>
      <c r="E80" s="2">
        <v>38</v>
      </c>
      <c r="F80" s="2">
        <v>22</v>
      </c>
      <c r="G80" s="2">
        <v>44</v>
      </c>
      <c r="H80" s="2">
        <v>56</v>
      </c>
      <c r="I80" s="2">
        <v>93</v>
      </c>
      <c r="J80" s="2">
        <v>1</v>
      </c>
      <c r="K80" s="2">
        <v>2</v>
      </c>
      <c r="L80" s="2">
        <v>1</v>
      </c>
      <c r="M80" s="2">
        <v>0</v>
      </c>
      <c r="N80" s="2">
        <v>3</v>
      </c>
      <c r="O80" s="2">
        <v>2</v>
      </c>
      <c r="P80" s="2">
        <v>21</v>
      </c>
      <c r="Q80" s="2">
        <v>26</v>
      </c>
      <c r="R80" s="2">
        <v>38</v>
      </c>
      <c r="S80" s="2">
        <v>14</v>
      </c>
      <c r="T80" s="2">
        <v>80</v>
      </c>
      <c r="U80" s="2">
        <v>7</v>
      </c>
      <c r="V80" s="2">
        <v>12</v>
      </c>
      <c r="W80" s="2">
        <v>17</v>
      </c>
      <c r="X80" s="2">
        <v>15</v>
      </c>
      <c r="Y80" s="2">
        <v>25</v>
      </c>
      <c r="Z80" s="2">
        <v>23</v>
      </c>
      <c r="AA80" s="2">
        <v>3</v>
      </c>
      <c r="AB80" s="2">
        <v>6</v>
      </c>
      <c r="AC80" s="2">
        <v>8</v>
      </c>
      <c r="AD80" s="2">
        <v>18</v>
      </c>
      <c r="AE80" s="2">
        <v>66</v>
      </c>
      <c r="AF80" s="2">
        <v>29</v>
      </c>
      <c r="AG80" s="2">
        <v>23</v>
      </c>
      <c r="AH80" s="2">
        <v>10</v>
      </c>
      <c r="AI80" s="2">
        <v>6</v>
      </c>
      <c r="AJ80" s="2">
        <v>33</v>
      </c>
    </row>
    <row r="81" spans="1:36" x14ac:dyDescent="0.35">
      <c r="A81" t="s">
        <v>477</v>
      </c>
      <c r="B81" t="s">
        <v>243</v>
      </c>
      <c r="C81" s="2">
        <v>16</v>
      </c>
      <c r="D81" s="2">
        <v>22</v>
      </c>
      <c r="E81" s="2">
        <v>39</v>
      </c>
      <c r="F81" s="2">
        <v>23</v>
      </c>
      <c r="G81" s="2">
        <v>42</v>
      </c>
      <c r="H81" s="2">
        <v>58</v>
      </c>
      <c r="I81" s="2">
        <v>63</v>
      </c>
      <c r="J81" s="2">
        <v>6</v>
      </c>
      <c r="K81" s="2">
        <v>3</v>
      </c>
      <c r="L81" s="2">
        <v>7</v>
      </c>
      <c r="M81" s="2">
        <v>10</v>
      </c>
      <c r="N81" s="2">
        <v>11</v>
      </c>
      <c r="O81" s="2">
        <v>17</v>
      </c>
      <c r="P81" s="2">
        <v>23</v>
      </c>
      <c r="Q81" s="2">
        <v>34</v>
      </c>
      <c r="R81" s="2">
        <v>24</v>
      </c>
      <c r="S81" s="2">
        <v>2</v>
      </c>
      <c r="T81" s="2">
        <v>33</v>
      </c>
      <c r="U81" s="2">
        <v>3</v>
      </c>
      <c r="V81" s="2">
        <v>65</v>
      </c>
      <c r="W81" s="2">
        <v>4</v>
      </c>
      <c r="X81" s="2">
        <v>15</v>
      </c>
      <c r="Y81" s="2">
        <v>5</v>
      </c>
      <c r="Z81" s="2">
        <v>8</v>
      </c>
      <c r="AA81" s="2">
        <v>0</v>
      </c>
      <c r="AB81" s="2">
        <v>1</v>
      </c>
      <c r="AC81" s="2">
        <v>2</v>
      </c>
      <c r="AD81" s="2">
        <v>3</v>
      </c>
      <c r="AE81" s="2">
        <v>94</v>
      </c>
      <c r="AF81" s="2">
        <v>3</v>
      </c>
      <c r="AG81" s="2">
        <v>7</v>
      </c>
      <c r="AH81" s="2">
        <v>1</v>
      </c>
      <c r="AI81" s="2">
        <v>1</v>
      </c>
      <c r="AJ81" s="2">
        <v>87</v>
      </c>
    </row>
    <row r="82" spans="1:36" x14ac:dyDescent="0.35">
      <c r="A82" t="s">
        <v>244</v>
      </c>
      <c r="B82" t="s">
        <v>245</v>
      </c>
      <c r="C82" s="2">
        <v>23</v>
      </c>
      <c r="D82" s="2">
        <v>21</v>
      </c>
      <c r="E82" s="2">
        <v>31</v>
      </c>
      <c r="F82" s="2">
        <v>25</v>
      </c>
      <c r="G82" s="2">
        <v>43</v>
      </c>
      <c r="H82" s="2">
        <v>57</v>
      </c>
      <c r="I82" s="2">
        <v>66</v>
      </c>
      <c r="J82" s="2">
        <v>8</v>
      </c>
      <c r="K82" s="2">
        <v>5</v>
      </c>
      <c r="L82" s="2">
        <v>4</v>
      </c>
      <c r="M82" s="2">
        <v>14</v>
      </c>
      <c r="N82" s="2">
        <v>4</v>
      </c>
      <c r="O82" s="2">
        <v>16</v>
      </c>
      <c r="P82" s="2">
        <v>25</v>
      </c>
      <c r="Q82" s="2">
        <v>25</v>
      </c>
      <c r="R82" s="2">
        <v>23</v>
      </c>
      <c r="S82" s="2">
        <v>11</v>
      </c>
      <c r="T82" s="2">
        <v>83</v>
      </c>
      <c r="U82" s="2">
        <v>5</v>
      </c>
      <c r="V82" s="2">
        <v>13</v>
      </c>
      <c r="W82" s="2">
        <v>28</v>
      </c>
      <c r="X82" s="2">
        <v>14</v>
      </c>
      <c r="Y82" s="2">
        <v>23</v>
      </c>
      <c r="Z82" s="2">
        <v>18</v>
      </c>
      <c r="AA82" s="2">
        <v>4</v>
      </c>
      <c r="AB82" s="2">
        <v>4</v>
      </c>
      <c r="AC82" s="2">
        <v>8</v>
      </c>
      <c r="AD82" s="2">
        <v>19</v>
      </c>
      <c r="AE82" s="2">
        <v>65</v>
      </c>
      <c r="AF82" s="2">
        <v>26</v>
      </c>
      <c r="AG82" s="2">
        <v>15</v>
      </c>
      <c r="AH82" s="2">
        <v>9</v>
      </c>
      <c r="AI82" s="2">
        <v>4</v>
      </c>
      <c r="AJ82" s="2">
        <v>46</v>
      </c>
    </row>
    <row r="83" spans="1:36" x14ac:dyDescent="0.35">
      <c r="A83" t="s">
        <v>490</v>
      </c>
      <c r="B83" t="s">
        <v>284</v>
      </c>
      <c r="C83" s="2">
        <v>38</v>
      </c>
      <c r="D83" s="2">
        <v>26</v>
      </c>
      <c r="E83" s="2">
        <v>24</v>
      </c>
      <c r="F83" s="2">
        <v>12</v>
      </c>
      <c r="G83" s="2">
        <v>47</v>
      </c>
      <c r="H83" s="2">
        <v>53</v>
      </c>
      <c r="I83" s="2">
        <v>83</v>
      </c>
      <c r="J83" s="2">
        <v>8</v>
      </c>
      <c r="K83" s="2">
        <v>3</v>
      </c>
      <c r="L83" s="2">
        <v>2</v>
      </c>
      <c r="M83" s="2">
        <v>4</v>
      </c>
      <c r="N83" s="2">
        <v>0</v>
      </c>
      <c r="O83" s="2">
        <v>41</v>
      </c>
      <c r="P83" s="2">
        <v>20</v>
      </c>
      <c r="Q83" s="2">
        <v>19</v>
      </c>
      <c r="R83" s="2">
        <v>15</v>
      </c>
      <c r="S83" s="2">
        <v>5</v>
      </c>
      <c r="T83" s="2">
        <v>60</v>
      </c>
      <c r="U83" s="2">
        <v>8</v>
      </c>
      <c r="V83" s="2">
        <v>32</v>
      </c>
      <c r="W83" s="2">
        <v>1</v>
      </c>
      <c r="X83" s="2">
        <v>16</v>
      </c>
      <c r="Y83" s="2">
        <v>22</v>
      </c>
      <c r="Z83" s="2">
        <v>21</v>
      </c>
      <c r="AA83" s="2">
        <v>13</v>
      </c>
      <c r="AB83" s="2">
        <v>9</v>
      </c>
      <c r="AC83" s="2">
        <v>6</v>
      </c>
      <c r="AD83" s="2">
        <v>20</v>
      </c>
      <c r="AE83" s="2">
        <v>51</v>
      </c>
      <c r="AF83" s="2">
        <v>27</v>
      </c>
      <c r="AG83" s="2">
        <v>21</v>
      </c>
      <c r="AH83" s="2">
        <v>3</v>
      </c>
      <c r="AI83" s="2">
        <v>1</v>
      </c>
      <c r="AJ83" s="2">
        <v>47</v>
      </c>
    </row>
    <row r="84" spans="1:36" x14ac:dyDescent="0.35">
      <c r="A84" t="s">
        <v>465</v>
      </c>
      <c r="B84" t="s">
        <v>506</v>
      </c>
      <c r="C84" s="2">
        <v>32</v>
      </c>
      <c r="D84" s="2">
        <v>22</v>
      </c>
      <c r="E84" s="2">
        <v>30</v>
      </c>
      <c r="F84" s="2">
        <v>16</v>
      </c>
      <c r="G84" s="2">
        <v>47</v>
      </c>
      <c r="H84" s="2">
        <v>53</v>
      </c>
      <c r="I84" s="2">
        <v>70</v>
      </c>
      <c r="J84" s="2">
        <v>9</v>
      </c>
      <c r="K84" s="2">
        <v>3</v>
      </c>
      <c r="L84" s="2">
        <v>3</v>
      </c>
      <c r="M84" s="2">
        <v>10</v>
      </c>
      <c r="N84" s="2">
        <v>4</v>
      </c>
      <c r="O84" s="2">
        <v>19</v>
      </c>
      <c r="P84" s="2">
        <v>15</v>
      </c>
      <c r="Q84" s="2">
        <v>29</v>
      </c>
      <c r="R84" s="2">
        <v>26</v>
      </c>
      <c r="S84" s="2">
        <v>11</v>
      </c>
      <c r="T84" s="2">
        <v>41</v>
      </c>
      <c r="U84" s="2">
        <v>1</v>
      </c>
      <c r="V84" s="2">
        <v>58</v>
      </c>
      <c r="W84" s="2">
        <v>1</v>
      </c>
      <c r="X84" s="2">
        <v>7</v>
      </c>
      <c r="Y84" s="2">
        <v>18</v>
      </c>
      <c r="Z84" s="2">
        <v>15</v>
      </c>
      <c r="AA84" s="2">
        <v>10</v>
      </c>
      <c r="AB84" s="2">
        <v>3</v>
      </c>
      <c r="AC84" s="2">
        <v>3</v>
      </c>
      <c r="AD84" s="2">
        <v>20</v>
      </c>
      <c r="AE84" s="2">
        <v>64</v>
      </c>
      <c r="AF84" s="2">
        <v>34</v>
      </c>
      <c r="AG84" s="2">
        <v>16</v>
      </c>
      <c r="AH84" s="2">
        <v>10</v>
      </c>
      <c r="AI84" s="2">
        <v>4</v>
      </c>
      <c r="AJ84" s="2">
        <v>35</v>
      </c>
    </row>
    <row r="85" spans="1:36" x14ac:dyDescent="0.35">
      <c r="A85" t="s">
        <v>246</v>
      </c>
      <c r="B85" t="s">
        <v>247</v>
      </c>
      <c r="C85" s="2">
        <v>19</v>
      </c>
      <c r="D85" s="2">
        <v>14</v>
      </c>
      <c r="E85" s="2">
        <v>41</v>
      </c>
      <c r="F85" s="2">
        <v>26</v>
      </c>
      <c r="G85" s="2">
        <v>51</v>
      </c>
      <c r="H85" s="2">
        <v>49</v>
      </c>
      <c r="I85" s="2">
        <v>86</v>
      </c>
      <c r="J85" s="2">
        <v>5</v>
      </c>
      <c r="K85" s="2">
        <v>1</v>
      </c>
      <c r="L85" s="2">
        <v>1</v>
      </c>
      <c r="M85" s="2">
        <v>3</v>
      </c>
      <c r="N85" s="2">
        <v>5</v>
      </c>
      <c r="O85" s="2">
        <v>56</v>
      </c>
      <c r="P85" s="2">
        <v>25</v>
      </c>
      <c r="Q85" s="2">
        <v>12</v>
      </c>
      <c r="R85" s="2">
        <v>5</v>
      </c>
      <c r="S85" s="2">
        <v>1</v>
      </c>
      <c r="T85" s="2">
        <v>83</v>
      </c>
      <c r="U85" s="2">
        <v>3</v>
      </c>
      <c r="V85" s="2">
        <v>14</v>
      </c>
      <c r="W85" s="2">
        <v>13</v>
      </c>
      <c r="X85" s="2">
        <v>16</v>
      </c>
      <c r="Y85" s="2">
        <v>35</v>
      </c>
      <c r="Z85" s="2">
        <v>19</v>
      </c>
      <c r="AA85" s="2">
        <v>7</v>
      </c>
      <c r="AB85" s="2">
        <v>17</v>
      </c>
      <c r="AC85" s="2">
        <v>13</v>
      </c>
      <c r="AD85" s="2">
        <v>30</v>
      </c>
      <c r="AE85" s="2">
        <v>33</v>
      </c>
      <c r="AF85" s="2">
        <v>38</v>
      </c>
      <c r="AG85" s="2">
        <v>14</v>
      </c>
      <c r="AH85" s="2">
        <v>18</v>
      </c>
      <c r="AI85" s="2">
        <v>6</v>
      </c>
      <c r="AJ85" s="2">
        <v>24</v>
      </c>
    </row>
    <row r="86" spans="1:36" x14ac:dyDescent="0.35">
      <c r="A86" t="s">
        <v>472</v>
      </c>
      <c r="B86" t="s">
        <v>248</v>
      </c>
      <c r="C86" s="2">
        <v>22</v>
      </c>
      <c r="D86" s="2">
        <v>20</v>
      </c>
      <c r="E86" s="2">
        <v>38</v>
      </c>
      <c r="F86" s="2">
        <v>19</v>
      </c>
      <c r="G86" s="2">
        <v>40</v>
      </c>
      <c r="H86" s="2">
        <v>60</v>
      </c>
      <c r="I86" s="2">
        <v>79</v>
      </c>
      <c r="J86" s="2">
        <v>3</v>
      </c>
      <c r="K86" s="2">
        <v>5</v>
      </c>
      <c r="L86" s="2">
        <v>3</v>
      </c>
      <c r="M86" s="2">
        <v>2</v>
      </c>
      <c r="N86" s="2">
        <v>7</v>
      </c>
      <c r="O86" s="2">
        <v>33</v>
      </c>
      <c r="P86" s="2">
        <v>32</v>
      </c>
      <c r="Q86" s="2">
        <v>21</v>
      </c>
      <c r="R86" s="2">
        <v>10</v>
      </c>
      <c r="S86" s="2">
        <v>3</v>
      </c>
      <c r="T86" s="2">
        <v>75</v>
      </c>
      <c r="U86" s="2">
        <v>6</v>
      </c>
      <c r="V86" s="2">
        <v>20</v>
      </c>
      <c r="W86" s="2">
        <v>15</v>
      </c>
      <c r="X86" s="2">
        <v>10</v>
      </c>
      <c r="Y86" s="2">
        <v>29</v>
      </c>
      <c r="Z86" s="2">
        <v>20</v>
      </c>
      <c r="AA86" s="2">
        <v>4</v>
      </c>
      <c r="AB86" s="2">
        <v>1</v>
      </c>
      <c r="AC86" s="2">
        <v>3</v>
      </c>
      <c r="AD86" s="2">
        <v>4</v>
      </c>
      <c r="AE86" s="2">
        <v>88</v>
      </c>
      <c r="AF86" s="2">
        <v>24</v>
      </c>
      <c r="AG86" s="2">
        <v>12</v>
      </c>
      <c r="AH86" s="2">
        <v>4</v>
      </c>
      <c r="AI86" s="2">
        <v>4</v>
      </c>
      <c r="AJ86" s="2">
        <v>56</v>
      </c>
    </row>
    <row r="87" spans="1:36" x14ac:dyDescent="0.35">
      <c r="A87" t="s">
        <v>485</v>
      </c>
      <c r="B87" t="s">
        <v>285</v>
      </c>
      <c r="C87" s="2">
        <v>22</v>
      </c>
      <c r="D87" s="2">
        <v>14</v>
      </c>
      <c r="E87" s="2">
        <v>32</v>
      </c>
      <c r="F87" s="2">
        <v>32</v>
      </c>
      <c r="G87" s="2">
        <v>46</v>
      </c>
      <c r="H87" s="2">
        <v>55</v>
      </c>
      <c r="I87" s="2">
        <v>81</v>
      </c>
      <c r="J87" s="2">
        <v>7</v>
      </c>
      <c r="K87" s="2">
        <v>7</v>
      </c>
      <c r="L87" s="2">
        <v>1</v>
      </c>
      <c r="M87" s="2">
        <v>2</v>
      </c>
      <c r="N87" s="2">
        <v>3</v>
      </c>
      <c r="O87" s="2">
        <v>12</v>
      </c>
      <c r="P87" s="2">
        <v>18</v>
      </c>
      <c r="Q87" s="2">
        <v>13</v>
      </c>
      <c r="R87" s="2">
        <v>25</v>
      </c>
      <c r="S87" s="2">
        <v>33</v>
      </c>
      <c r="T87" s="2">
        <v>82</v>
      </c>
      <c r="U87" s="2">
        <v>8</v>
      </c>
      <c r="V87" s="2">
        <v>11</v>
      </c>
      <c r="W87" s="2">
        <v>28</v>
      </c>
      <c r="X87" s="2">
        <v>12</v>
      </c>
      <c r="Y87" s="2">
        <v>18</v>
      </c>
      <c r="Z87" s="2">
        <v>24</v>
      </c>
      <c r="AA87" s="2">
        <v>14</v>
      </c>
      <c r="AB87" s="2">
        <v>8</v>
      </c>
      <c r="AC87" s="2">
        <v>7</v>
      </c>
      <c r="AD87" s="2">
        <v>13</v>
      </c>
      <c r="AE87" s="2">
        <v>59</v>
      </c>
      <c r="AF87" s="2">
        <v>44</v>
      </c>
      <c r="AG87" s="2">
        <v>16</v>
      </c>
      <c r="AH87" s="2">
        <v>9</v>
      </c>
      <c r="AI87" s="2">
        <v>6</v>
      </c>
      <c r="AJ87" s="2">
        <v>26</v>
      </c>
    </row>
    <row r="88" spans="1:36" x14ac:dyDescent="0.35">
      <c r="A88" t="s">
        <v>250</v>
      </c>
      <c r="B88" t="s">
        <v>251</v>
      </c>
      <c r="C88" s="2">
        <v>18</v>
      </c>
      <c r="D88" s="2">
        <v>28</v>
      </c>
      <c r="E88" s="2">
        <v>28</v>
      </c>
      <c r="F88" s="2">
        <v>26</v>
      </c>
      <c r="G88" s="2">
        <v>50</v>
      </c>
      <c r="H88" s="2">
        <v>50</v>
      </c>
      <c r="I88" s="2">
        <v>89</v>
      </c>
      <c r="J88" s="2">
        <v>0</v>
      </c>
      <c r="K88" s="2">
        <v>2</v>
      </c>
      <c r="L88" s="2">
        <v>0</v>
      </c>
      <c r="M88" s="2">
        <v>2</v>
      </c>
      <c r="N88" s="2">
        <v>7</v>
      </c>
      <c r="O88" s="2">
        <v>30</v>
      </c>
      <c r="P88" s="2">
        <v>20</v>
      </c>
      <c r="Q88" s="2">
        <v>31</v>
      </c>
      <c r="R88" s="2">
        <v>18</v>
      </c>
      <c r="S88" s="2">
        <v>1</v>
      </c>
      <c r="T88" s="2">
        <v>80</v>
      </c>
      <c r="U88" s="2">
        <v>3</v>
      </c>
      <c r="V88" s="2">
        <v>16</v>
      </c>
      <c r="W88" s="2">
        <v>12</v>
      </c>
      <c r="X88" s="2">
        <v>16</v>
      </c>
      <c r="Y88" s="2">
        <v>25</v>
      </c>
      <c r="Z88" s="2">
        <v>27</v>
      </c>
      <c r="AA88" s="2">
        <v>19</v>
      </c>
      <c r="AB88" s="2">
        <v>5</v>
      </c>
      <c r="AC88" s="2">
        <v>10</v>
      </c>
      <c r="AD88" s="2">
        <v>23</v>
      </c>
      <c r="AE88" s="2">
        <v>44</v>
      </c>
      <c r="AF88" s="2">
        <v>47</v>
      </c>
      <c r="AG88" s="2">
        <v>18</v>
      </c>
      <c r="AH88" s="2">
        <v>1</v>
      </c>
      <c r="AI88" s="2">
        <v>3</v>
      </c>
      <c r="AJ88" s="2">
        <v>31</v>
      </c>
    </row>
    <row r="89" spans="1:36" x14ac:dyDescent="0.35">
      <c r="A89" t="s">
        <v>252</v>
      </c>
      <c r="B89" t="s">
        <v>253</v>
      </c>
      <c r="C89" s="2">
        <v>28</v>
      </c>
      <c r="D89" s="2">
        <v>30</v>
      </c>
      <c r="E89" s="2">
        <v>27</v>
      </c>
      <c r="F89" s="2">
        <v>15</v>
      </c>
      <c r="G89" s="2">
        <v>39</v>
      </c>
      <c r="H89" s="2">
        <v>61</v>
      </c>
      <c r="I89" s="2">
        <v>59</v>
      </c>
      <c r="J89" s="2">
        <v>25</v>
      </c>
      <c r="K89" s="2">
        <v>7</v>
      </c>
      <c r="L89" s="2">
        <v>4</v>
      </c>
      <c r="M89" s="2">
        <v>3</v>
      </c>
      <c r="N89" s="2">
        <v>2</v>
      </c>
      <c r="O89" s="2">
        <v>1</v>
      </c>
      <c r="P89" s="2">
        <v>4</v>
      </c>
      <c r="Q89" s="2">
        <v>14</v>
      </c>
      <c r="R89" s="2">
        <v>21</v>
      </c>
      <c r="S89" s="2">
        <v>60</v>
      </c>
      <c r="T89" s="2">
        <v>89</v>
      </c>
      <c r="U89" s="2">
        <v>4</v>
      </c>
      <c r="V89" s="2">
        <v>7</v>
      </c>
      <c r="W89" s="2">
        <v>24</v>
      </c>
      <c r="X89" s="2">
        <v>11</v>
      </c>
      <c r="Y89" s="2">
        <v>29</v>
      </c>
      <c r="Z89" s="2">
        <v>25</v>
      </c>
      <c r="AA89" s="2">
        <v>3</v>
      </c>
      <c r="AB89" s="2">
        <v>3</v>
      </c>
      <c r="AC89" s="2">
        <v>5</v>
      </c>
      <c r="AD89" s="2">
        <v>11</v>
      </c>
      <c r="AE89" s="2">
        <v>78</v>
      </c>
      <c r="AF89" s="2">
        <v>25</v>
      </c>
      <c r="AG89" s="2">
        <v>19</v>
      </c>
      <c r="AH89" s="2">
        <v>5</v>
      </c>
      <c r="AI89" s="2">
        <v>3</v>
      </c>
      <c r="AJ89" s="2">
        <v>48</v>
      </c>
    </row>
    <row r="90" spans="1:36" x14ac:dyDescent="0.35">
      <c r="A90" t="s">
        <v>254</v>
      </c>
      <c r="B90" t="s">
        <v>255</v>
      </c>
      <c r="C90" s="2">
        <v>31</v>
      </c>
      <c r="D90" s="2">
        <v>23</v>
      </c>
      <c r="E90" s="2">
        <v>28</v>
      </c>
      <c r="F90" s="2">
        <v>17</v>
      </c>
      <c r="G90" s="2">
        <v>46</v>
      </c>
      <c r="H90" s="2">
        <v>54</v>
      </c>
      <c r="I90" s="2">
        <v>81</v>
      </c>
      <c r="J90" s="2">
        <v>6</v>
      </c>
      <c r="K90" s="2">
        <v>2</v>
      </c>
      <c r="L90" s="2">
        <v>3</v>
      </c>
      <c r="M90" s="2">
        <v>3</v>
      </c>
      <c r="N90" s="2">
        <v>6</v>
      </c>
      <c r="O90" s="2">
        <v>14</v>
      </c>
      <c r="P90" s="2">
        <v>18</v>
      </c>
      <c r="Q90" s="2">
        <v>17</v>
      </c>
      <c r="R90" s="2">
        <v>17</v>
      </c>
      <c r="S90" s="2">
        <v>34</v>
      </c>
      <c r="T90" s="2">
        <v>28</v>
      </c>
      <c r="U90" s="2">
        <v>4</v>
      </c>
      <c r="V90" s="2">
        <v>67</v>
      </c>
      <c r="W90" s="2">
        <v>3</v>
      </c>
      <c r="X90" s="2">
        <v>13</v>
      </c>
      <c r="Y90" s="2">
        <v>5</v>
      </c>
      <c r="Z90" s="2">
        <v>7</v>
      </c>
      <c r="AA90" s="2">
        <v>2</v>
      </c>
      <c r="AB90" s="2">
        <v>0</v>
      </c>
      <c r="AC90" s="2">
        <v>1</v>
      </c>
      <c r="AD90" s="2">
        <v>2</v>
      </c>
      <c r="AE90" s="2">
        <v>95</v>
      </c>
      <c r="AF90" s="2">
        <v>15</v>
      </c>
      <c r="AG90" s="2">
        <v>15</v>
      </c>
      <c r="AH90" s="2">
        <v>12</v>
      </c>
      <c r="AI90" s="2">
        <v>3</v>
      </c>
      <c r="AJ90" s="2">
        <v>56</v>
      </c>
    </row>
    <row r="91" spans="1:36" x14ac:dyDescent="0.35">
      <c r="A91" t="s">
        <v>256</v>
      </c>
      <c r="B91" t="s">
        <v>257</v>
      </c>
      <c r="C91" s="2">
        <v>20</v>
      </c>
      <c r="D91" s="2">
        <v>26</v>
      </c>
      <c r="E91" s="2">
        <v>25</v>
      </c>
      <c r="F91" s="2">
        <v>28</v>
      </c>
      <c r="G91" s="2">
        <v>47</v>
      </c>
      <c r="H91" s="2">
        <v>53</v>
      </c>
      <c r="I91" s="2">
        <v>97</v>
      </c>
      <c r="J91" s="2">
        <v>1</v>
      </c>
      <c r="K91" s="2">
        <v>2</v>
      </c>
      <c r="L91" s="2">
        <v>0</v>
      </c>
      <c r="M91" s="2">
        <v>0</v>
      </c>
      <c r="N91" s="2">
        <v>0</v>
      </c>
      <c r="O91" s="2">
        <v>12</v>
      </c>
      <c r="P91" s="2">
        <v>18</v>
      </c>
      <c r="Q91" s="2">
        <v>25</v>
      </c>
      <c r="R91" s="2">
        <v>16</v>
      </c>
      <c r="S91" s="2">
        <v>28</v>
      </c>
      <c r="T91" s="2">
        <v>72</v>
      </c>
      <c r="U91" s="2">
        <v>5</v>
      </c>
      <c r="V91" s="2">
        <v>23</v>
      </c>
      <c r="W91" s="2">
        <v>22</v>
      </c>
      <c r="X91" s="2">
        <v>15</v>
      </c>
      <c r="Y91" s="2">
        <v>18</v>
      </c>
      <c r="Z91" s="2">
        <v>16</v>
      </c>
      <c r="AA91" s="2">
        <v>1</v>
      </c>
      <c r="AB91" s="2">
        <v>1</v>
      </c>
      <c r="AC91" s="2">
        <v>3</v>
      </c>
      <c r="AD91" s="2">
        <v>4</v>
      </c>
      <c r="AE91" s="2">
        <v>91</v>
      </c>
      <c r="AF91" s="2">
        <v>25</v>
      </c>
      <c r="AG91" s="2">
        <v>11</v>
      </c>
      <c r="AH91" s="2">
        <v>7</v>
      </c>
      <c r="AI91" s="2">
        <v>6</v>
      </c>
      <c r="AJ91" s="2">
        <v>51</v>
      </c>
    </row>
    <row r="92" spans="1:36" x14ac:dyDescent="0.35">
      <c r="A92" t="s">
        <v>258</v>
      </c>
      <c r="B92" t="s">
        <v>259</v>
      </c>
      <c r="C92" s="2">
        <v>15</v>
      </c>
      <c r="D92" s="2">
        <v>22</v>
      </c>
      <c r="E92" s="2">
        <v>37</v>
      </c>
      <c r="F92" s="2">
        <v>26</v>
      </c>
      <c r="G92" s="2">
        <v>43</v>
      </c>
      <c r="H92" s="2">
        <v>57</v>
      </c>
      <c r="I92" s="2">
        <v>96</v>
      </c>
      <c r="J92" s="2">
        <v>1</v>
      </c>
      <c r="K92" s="2">
        <v>0</v>
      </c>
      <c r="L92" s="2">
        <v>0</v>
      </c>
      <c r="M92" s="2">
        <v>1</v>
      </c>
      <c r="N92" s="2">
        <v>2</v>
      </c>
      <c r="O92" s="2">
        <v>17</v>
      </c>
      <c r="P92" s="2">
        <v>26</v>
      </c>
      <c r="Q92" s="2">
        <v>27</v>
      </c>
      <c r="R92" s="2">
        <v>22</v>
      </c>
      <c r="S92" s="2">
        <v>9</v>
      </c>
      <c r="T92" s="2">
        <v>66</v>
      </c>
      <c r="U92" s="2">
        <v>4</v>
      </c>
      <c r="V92" s="2">
        <v>31</v>
      </c>
      <c r="W92" s="2">
        <v>19</v>
      </c>
      <c r="X92" s="2">
        <v>15</v>
      </c>
      <c r="Y92" s="2">
        <v>17</v>
      </c>
      <c r="Z92" s="2">
        <v>15</v>
      </c>
      <c r="AA92" s="2">
        <v>12</v>
      </c>
      <c r="AB92" s="2">
        <v>5</v>
      </c>
      <c r="AC92" s="2">
        <v>13</v>
      </c>
      <c r="AD92" s="2">
        <v>27</v>
      </c>
      <c r="AE92" s="2">
        <v>44</v>
      </c>
      <c r="AF92" s="2">
        <v>62</v>
      </c>
      <c r="AG92" s="2">
        <v>13</v>
      </c>
      <c r="AH92" s="2">
        <v>4</v>
      </c>
      <c r="AI92" s="2">
        <v>10</v>
      </c>
      <c r="AJ92" s="2">
        <v>10</v>
      </c>
    </row>
    <row r="93" spans="1:36" x14ac:dyDescent="0.35">
      <c r="A93" t="s">
        <v>260</v>
      </c>
      <c r="B93" t="s">
        <v>261</v>
      </c>
      <c r="C93" s="2">
        <v>17</v>
      </c>
      <c r="D93" s="2">
        <v>21</v>
      </c>
      <c r="E93" s="2">
        <v>39</v>
      </c>
      <c r="F93" s="2">
        <v>23</v>
      </c>
      <c r="G93" s="2">
        <v>43</v>
      </c>
      <c r="H93" s="2">
        <v>57</v>
      </c>
      <c r="I93" s="2">
        <v>78</v>
      </c>
      <c r="J93" s="2">
        <v>3</v>
      </c>
      <c r="K93" s="2">
        <v>2</v>
      </c>
      <c r="L93" s="2">
        <v>2</v>
      </c>
      <c r="M93" s="2">
        <v>3</v>
      </c>
      <c r="N93" s="2">
        <v>12</v>
      </c>
      <c r="O93" s="2">
        <v>11</v>
      </c>
      <c r="P93" s="2">
        <v>24</v>
      </c>
      <c r="Q93" s="2">
        <v>34</v>
      </c>
      <c r="R93" s="2">
        <v>22</v>
      </c>
      <c r="S93" s="2">
        <v>9</v>
      </c>
      <c r="T93" s="2">
        <v>85</v>
      </c>
      <c r="U93" s="2">
        <v>5</v>
      </c>
      <c r="V93" s="2">
        <v>9</v>
      </c>
      <c r="W93" s="2">
        <v>26</v>
      </c>
      <c r="X93" s="2">
        <v>14</v>
      </c>
      <c r="Y93" s="2">
        <v>30</v>
      </c>
      <c r="Z93" s="2">
        <v>15</v>
      </c>
      <c r="AA93" s="2">
        <v>7</v>
      </c>
      <c r="AB93" s="2">
        <v>4</v>
      </c>
      <c r="AC93" s="2">
        <v>7</v>
      </c>
      <c r="AD93" s="2">
        <v>13</v>
      </c>
      <c r="AE93" s="2">
        <v>70</v>
      </c>
      <c r="AF93" s="2">
        <v>18</v>
      </c>
      <c r="AG93" s="2">
        <v>14</v>
      </c>
      <c r="AH93" s="2">
        <v>3</v>
      </c>
      <c r="AI93" s="2">
        <v>5</v>
      </c>
      <c r="AJ93" s="2">
        <v>60</v>
      </c>
    </row>
    <row r="94" spans="1:36" x14ac:dyDescent="0.35">
      <c r="A94" t="s">
        <v>262</v>
      </c>
      <c r="B94" t="s">
        <v>263</v>
      </c>
      <c r="C94" s="2">
        <v>20</v>
      </c>
      <c r="D94" s="2">
        <v>26</v>
      </c>
      <c r="E94" s="2">
        <v>34</v>
      </c>
      <c r="F94" s="2">
        <v>21</v>
      </c>
      <c r="G94" s="2">
        <v>39</v>
      </c>
      <c r="H94" s="2">
        <v>61</v>
      </c>
      <c r="I94" s="2">
        <v>88</v>
      </c>
      <c r="J94" s="2">
        <v>1</v>
      </c>
      <c r="K94" s="2">
        <v>1</v>
      </c>
      <c r="L94" s="2">
        <v>3</v>
      </c>
      <c r="M94" s="2">
        <v>1</v>
      </c>
      <c r="N94" s="2">
        <v>5</v>
      </c>
      <c r="O94" s="2">
        <v>13</v>
      </c>
      <c r="P94" s="2">
        <v>28</v>
      </c>
      <c r="Q94" s="2">
        <v>22</v>
      </c>
      <c r="R94" s="2">
        <v>14</v>
      </c>
      <c r="S94" s="2">
        <v>24</v>
      </c>
      <c r="T94" s="2">
        <v>84</v>
      </c>
      <c r="U94" s="2">
        <v>6</v>
      </c>
      <c r="V94" s="2">
        <v>10</v>
      </c>
      <c r="W94" s="2">
        <v>24</v>
      </c>
      <c r="X94" s="2">
        <v>14</v>
      </c>
      <c r="Y94" s="2">
        <v>29</v>
      </c>
      <c r="Z94" s="2">
        <v>16</v>
      </c>
      <c r="AA94" s="2">
        <v>0</v>
      </c>
      <c r="AB94" s="2">
        <v>0</v>
      </c>
      <c r="AC94" s="2">
        <v>1</v>
      </c>
      <c r="AD94" s="2">
        <v>2</v>
      </c>
      <c r="AE94" s="2">
        <v>96</v>
      </c>
      <c r="AF94" s="2">
        <v>44</v>
      </c>
      <c r="AG94" s="2">
        <v>31</v>
      </c>
      <c r="AH94" s="2">
        <v>8</v>
      </c>
      <c r="AI94" s="2">
        <v>4</v>
      </c>
      <c r="AJ94" s="2">
        <v>13</v>
      </c>
    </row>
    <row r="95" spans="1:36" x14ac:dyDescent="0.35">
      <c r="A95" t="s">
        <v>264</v>
      </c>
      <c r="B95" t="s">
        <v>265</v>
      </c>
      <c r="C95" s="2">
        <v>26</v>
      </c>
      <c r="D95" s="2">
        <v>28</v>
      </c>
      <c r="E95" s="2">
        <v>30</v>
      </c>
      <c r="F95" s="2">
        <v>16</v>
      </c>
      <c r="G95" s="2">
        <v>37</v>
      </c>
      <c r="H95" s="2">
        <v>63</v>
      </c>
      <c r="I95" s="2">
        <v>96</v>
      </c>
      <c r="J95" s="2">
        <v>1</v>
      </c>
      <c r="K95" s="2">
        <v>1</v>
      </c>
      <c r="L95" s="2">
        <v>1</v>
      </c>
      <c r="M95" s="2">
        <v>0</v>
      </c>
      <c r="N95" s="2">
        <v>0</v>
      </c>
      <c r="O95" s="2">
        <v>10</v>
      </c>
      <c r="P95" s="2">
        <v>8</v>
      </c>
      <c r="Q95" s="2">
        <v>14</v>
      </c>
      <c r="R95" s="2">
        <v>28</v>
      </c>
      <c r="S95" s="2">
        <v>40</v>
      </c>
      <c r="T95" s="2">
        <v>87</v>
      </c>
      <c r="U95" s="2">
        <v>3</v>
      </c>
      <c r="V95" s="2">
        <v>10</v>
      </c>
      <c r="W95" s="2">
        <v>22</v>
      </c>
      <c r="X95" s="2">
        <v>13</v>
      </c>
      <c r="Y95" s="2">
        <v>35</v>
      </c>
      <c r="Z95" s="2">
        <v>16</v>
      </c>
      <c r="AA95" s="2">
        <v>12</v>
      </c>
      <c r="AB95" s="2">
        <v>12</v>
      </c>
      <c r="AC95" s="2">
        <v>6</v>
      </c>
      <c r="AD95" s="2">
        <v>19</v>
      </c>
      <c r="AE95" s="2">
        <v>50</v>
      </c>
      <c r="AF95" s="2">
        <v>42</v>
      </c>
      <c r="AG95" s="2">
        <v>49</v>
      </c>
      <c r="AH95" s="2">
        <v>0</v>
      </c>
      <c r="AI95" s="2">
        <v>0</v>
      </c>
      <c r="AJ95" s="2">
        <v>9</v>
      </c>
    </row>
    <row r="96" spans="1:36" x14ac:dyDescent="0.35">
      <c r="A96" t="s">
        <v>479</v>
      </c>
      <c r="B96" t="s">
        <v>266</v>
      </c>
      <c r="C96" s="2">
        <v>19</v>
      </c>
      <c r="D96" s="2">
        <v>21</v>
      </c>
      <c r="E96" s="2">
        <v>32</v>
      </c>
      <c r="F96" s="2">
        <v>28</v>
      </c>
      <c r="G96" s="2">
        <v>40</v>
      </c>
      <c r="H96" s="2">
        <v>60</v>
      </c>
      <c r="I96" s="2">
        <v>89</v>
      </c>
      <c r="J96" s="2">
        <v>5</v>
      </c>
      <c r="K96" s="2">
        <v>2</v>
      </c>
      <c r="L96" s="2">
        <v>2</v>
      </c>
      <c r="M96" s="2">
        <v>2</v>
      </c>
      <c r="N96" s="2">
        <v>1</v>
      </c>
      <c r="O96" s="2">
        <v>35</v>
      </c>
      <c r="P96" s="2">
        <v>34</v>
      </c>
      <c r="Q96" s="2">
        <v>25</v>
      </c>
      <c r="R96" s="2">
        <v>6</v>
      </c>
      <c r="S96" s="2">
        <v>0</v>
      </c>
      <c r="T96" s="2">
        <v>81</v>
      </c>
      <c r="U96" s="2">
        <v>5</v>
      </c>
      <c r="V96" s="2">
        <v>14</v>
      </c>
      <c r="W96" s="2">
        <v>11</v>
      </c>
      <c r="X96" s="2">
        <v>14</v>
      </c>
      <c r="Y96" s="2">
        <v>17</v>
      </c>
      <c r="Z96" s="2">
        <v>39</v>
      </c>
      <c r="AA96" s="2">
        <v>10</v>
      </c>
      <c r="AB96" s="2">
        <v>12</v>
      </c>
      <c r="AC96" s="2">
        <v>17</v>
      </c>
      <c r="AD96" s="2">
        <v>19</v>
      </c>
      <c r="AE96" s="2">
        <v>42</v>
      </c>
      <c r="AF96" s="2">
        <v>31</v>
      </c>
      <c r="AG96" s="2">
        <v>32</v>
      </c>
      <c r="AH96" s="2">
        <v>2</v>
      </c>
      <c r="AI96" s="2">
        <v>3</v>
      </c>
      <c r="AJ96" s="2">
        <v>32</v>
      </c>
    </row>
    <row r="97" spans="1:36" x14ac:dyDescent="0.35">
      <c r="A97" t="s">
        <v>267</v>
      </c>
      <c r="B97" t="s">
        <v>268</v>
      </c>
      <c r="C97" s="2">
        <v>36</v>
      </c>
      <c r="D97" s="2">
        <v>21</v>
      </c>
      <c r="E97" s="2">
        <v>25</v>
      </c>
      <c r="F97" s="2">
        <v>18</v>
      </c>
      <c r="G97" s="2">
        <v>45</v>
      </c>
      <c r="H97" s="2">
        <v>55</v>
      </c>
      <c r="I97" s="2">
        <v>52</v>
      </c>
      <c r="J97" s="2">
        <v>14</v>
      </c>
      <c r="K97" s="2">
        <v>10</v>
      </c>
      <c r="L97" s="2">
        <v>2</v>
      </c>
      <c r="M97" s="2">
        <v>19</v>
      </c>
      <c r="N97" s="2">
        <v>2</v>
      </c>
      <c r="O97" s="2">
        <v>28</v>
      </c>
      <c r="P97" s="2">
        <v>22</v>
      </c>
      <c r="Q97" s="2">
        <v>22</v>
      </c>
      <c r="R97" s="2">
        <v>21</v>
      </c>
      <c r="S97" s="2">
        <v>7</v>
      </c>
      <c r="T97" s="2">
        <v>56</v>
      </c>
      <c r="U97" s="2">
        <v>3</v>
      </c>
      <c r="V97" s="2">
        <v>41</v>
      </c>
      <c r="W97" s="2">
        <v>2</v>
      </c>
      <c r="X97" s="2">
        <v>13</v>
      </c>
      <c r="Y97" s="2">
        <v>27</v>
      </c>
      <c r="Z97" s="2">
        <v>14</v>
      </c>
      <c r="AA97" s="2">
        <v>7</v>
      </c>
      <c r="AB97" s="2">
        <v>5</v>
      </c>
      <c r="AC97" s="2">
        <v>11</v>
      </c>
      <c r="AD97" s="2">
        <v>24</v>
      </c>
      <c r="AE97" s="2">
        <v>53</v>
      </c>
      <c r="AF97" s="2">
        <v>24</v>
      </c>
      <c r="AG97" s="2">
        <v>17</v>
      </c>
      <c r="AH97" s="2">
        <v>8</v>
      </c>
      <c r="AI97" s="2">
        <v>4</v>
      </c>
      <c r="AJ97" s="2">
        <v>47</v>
      </c>
    </row>
    <row r="98" spans="1:36" x14ac:dyDescent="0.35">
      <c r="A98" t="s">
        <v>270</v>
      </c>
      <c r="B98" t="s">
        <v>271</v>
      </c>
      <c r="C98" s="2">
        <v>17</v>
      </c>
      <c r="D98" s="2">
        <v>26</v>
      </c>
      <c r="E98" s="2">
        <v>33</v>
      </c>
      <c r="F98" s="2">
        <v>25</v>
      </c>
      <c r="G98" s="2">
        <v>38</v>
      </c>
      <c r="H98" s="2">
        <v>62</v>
      </c>
      <c r="I98" s="2">
        <v>79</v>
      </c>
      <c r="J98" s="2">
        <v>8</v>
      </c>
      <c r="K98" s="2">
        <v>4</v>
      </c>
      <c r="L98" s="2">
        <v>2</v>
      </c>
      <c r="M98" s="2">
        <v>1</v>
      </c>
      <c r="N98" s="2">
        <v>6</v>
      </c>
      <c r="O98" s="2">
        <v>29</v>
      </c>
      <c r="P98" s="2">
        <v>23</v>
      </c>
      <c r="Q98" s="2">
        <v>18</v>
      </c>
      <c r="R98" s="2">
        <v>20</v>
      </c>
      <c r="S98" s="2">
        <v>10</v>
      </c>
      <c r="T98" s="2">
        <v>69</v>
      </c>
      <c r="U98" s="2">
        <v>6</v>
      </c>
      <c r="V98" s="2">
        <v>25</v>
      </c>
      <c r="W98" s="2">
        <v>12</v>
      </c>
      <c r="X98" s="2">
        <v>18</v>
      </c>
      <c r="Y98" s="2">
        <v>24</v>
      </c>
      <c r="Z98" s="2">
        <v>15</v>
      </c>
      <c r="AA98" s="2">
        <v>1</v>
      </c>
      <c r="AB98" s="2">
        <v>0</v>
      </c>
      <c r="AC98" s="2">
        <v>0</v>
      </c>
      <c r="AD98" s="2">
        <v>0</v>
      </c>
      <c r="AE98" s="2">
        <v>99</v>
      </c>
      <c r="AF98" s="2">
        <v>1</v>
      </c>
      <c r="AG98" s="2">
        <v>1</v>
      </c>
      <c r="AH98" s="2">
        <v>1</v>
      </c>
      <c r="AI98" s="2">
        <v>0</v>
      </c>
      <c r="AJ98" s="2">
        <v>96</v>
      </c>
    </row>
    <row r="99" spans="1:36" x14ac:dyDescent="0.35">
      <c r="A99" t="s">
        <v>272</v>
      </c>
      <c r="B99" t="s">
        <v>273</v>
      </c>
      <c r="C99" s="2">
        <v>18</v>
      </c>
      <c r="D99" s="2">
        <v>27</v>
      </c>
      <c r="E99" s="2">
        <v>34</v>
      </c>
      <c r="F99" s="2">
        <v>21</v>
      </c>
      <c r="G99" s="2">
        <v>41</v>
      </c>
      <c r="H99" s="2">
        <v>59</v>
      </c>
      <c r="I99" s="2">
        <v>72</v>
      </c>
      <c r="J99" s="2">
        <v>6</v>
      </c>
      <c r="K99" s="2">
        <v>3</v>
      </c>
      <c r="L99" s="2">
        <v>4</v>
      </c>
      <c r="M99" s="2">
        <v>4</v>
      </c>
      <c r="N99" s="2">
        <v>10</v>
      </c>
      <c r="O99" s="2">
        <v>42</v>
      </c>
      <c r="P99" s="2">
        <v>27</v>
      </c>
      <c r="Q99" s="2">
        <v>21</v>
      </c>
      <c r="R99" s="2">
        <v>9</v>
      </c>
      <c r="S99" s="2">
        <v>1</v>
      </c>
      <c r="T99" s="2">
        <v>82</v>
      </c>
      <c r="U99" s="2">
        <v>7</v>
      </c>
      <c r="V99" s="2">
        <v>12</v>
      </c>
      <c r="W99" s="2">
        <v>22</v>
      </c>
      <c r="X99" s="2">
        <v>15</v>
      </c>
      <c r="Y99" s="2">
        <v>30</v>
      </c>
      <c r="Z99" s="2">
        <v>14</v>
      </c>
      <c r="AA99" s="2">
        <v>3</v>
      </c>
      <c r="AB99" s="2">
        <v>6</v>
      </c>
      <c r="AC99" s="2">
        <v>7</v>
      </c>
      <c r="AD99" s="2">
        <v>15</v>
      </c>
      <c r="AE99" s="2">
        <v>70</v>
      </c>
      <c r="AF99" s="2">
        <v>13</v>
      </c>
      <c r="AG99" s="2">
        <v>5</v>
      </c>
      <c r="AH99" s="2">
        <v>3</v>
      </c>
      <c r="AI99" s="2">
        <v>6</v>
      </c>
      <c r="AJ99" s="2">
        <v>74</v>
      </c>
    </row>
    <row r="100" spans="1:36" x14ac:dyDescent="0.35">
      <c r="A100" t="s">
        <v>274</v>
      </c>
      <c r="B100" t="s">
        <v>275</v>
      </c>
      <c r="C100" s="2">
        <v>26</v>
      </c>
      <c r="D100" s="2">
        <v>13</v>
      </c>
      <c r="E100" s="2">
        <v>31</v>
      </c>
      <c r="F100" s="2">
        <v>31</v>
      </c>
      <c r="G100" s="2">
        <v>23</v>
      </c>
      <c r="H100" s="2">
        <v>77</v>
      </c>
      <c r="I100" s="2">
        <v>85</v>
      </c>
      <c r="J100" s="2">
        <v>3</v>
      </c>
      <c r="K100" s="2">
        <v>3</v>
      </c>
      <c r="L100" s="2">
        <v>0</v>
      </c>
      <c r="M100" s="2">
        <v>5</v>
      </c>
      <c r="N100" s="2">
        <v>5</v>
      </c>
      <c r="O100" s="2">
        <v>3</v>
      </c>
      <c r="P100" s="2">
        <v>23</v>
      </c>
      <c r="Q100" s="2">
        <v>21</v>
      </c>
      <c r="R100" s="2">
        <v>13</v>
      </c>
      <c r="S100" s="2">
        <v>41</v>
      </c>
      <c r="T100" s="2">
        <v>67</v>
      </c>
      <c r="U100" s="2">
        <v>10</v>
      </c>
      <c r="V100" s="2">
        <v>23</v>
      </c>
      <c r="W100" s="2">
        <v>10</v>
      </c>
      <c r="X100" s="2">
        <v>21</v>
      </c>
      <c r="Y100" s="2">
        <v>28</v>
      </c>
      <c r="Z100" s="2">
        <v>8</v>
      </c>
      <c r="AA100" s="2">
        <v>3</v>
      </c>
      <c r="AB100" s="2">
        <v>3</v>
      </c>
      <c r="AC100" s="2">
        <v>5</v>
      </c>
      <c r="AD100" s="2">
        <v>5</v>
      </c>
      <c r="AE100" s="2">
        <v>85</v>
      </c>
      <c r="AF100" s="2">
        <v>3</v>
      </c>
      <c r="AG100" s="2">
        <v>3</v>
      </c>
      <c r="AH100" s="2">
        <v>3</v>
      </c>
      <c r="AI100" s="2">
        <v>0</v>
      </c>
      <c r="AJ100" s="2">
        <v>92</v>
      </c>
    </row>
    <row r="101" spans="1:36" x14ac:dyDescent="0.35">
      <c r="A101" t="s">
        <v>287</v>
      </c>
      <c r="B101" t="s">
        <v>288</v>
      </c>
      <c r="C101" s="2">
        <v>20</v>
      </c>
      <c r="D101" s="2">
        <v>14</v>
      </c>
      <c r="E101" s="2">
        <v>40</v>
      </c>
      <c r="F101" s="2">
        <v>26</v>
      </c>
      <c r="G101" s="2">
        <v>46</v>
      </c>
      <c r="H101" s="2">
        <v>54</v>
      </c>
      <c r="I101" s="2">
        <v>96</v>
      </c>
      <c r="J101" s="2">
        <v>0</v>
      </c>
      <c r="K101" s="2">
        <v>1</v>
      </c>
      <c r="L101" s="2">
        <v>1</v>
      </c>
      <c r="M101" s="2">
        <v>0</v>
      </c>
      <c r="N101" s="2">
        <v>1</v>
      </c>
      <c r="O101" s="2">
        <v>10</v>
      </c>
      <c r="P101" s="2">
        <v>32</v>
      </c>
      <c r="Q101" s="2">
        <v>25</v>
      </c>
      <c r="R101" s="2">
        <v>25</v>
      </c>
      <c r="S101" s="2">
        <v>9</v>
      </c>
      <c r="T101" s="2">
        <v>87</v>
      </c>
      <c r="U101" s="2">
        <v>7</v>
      </c>
      <c r="V101" s="2">
        <v>6</v>
      </c>
      <c r="W101" s="2">
        <v>16</v>
      </c>
      <c r="X101" s="2">
        <v>14</v>
      </c>
      <c r="Y101" s="2">
        <v>34</v>
      </c>
      <c r="Z101" s="2">
        <v>24</v>
      </c>
      <c r="AA101" s="2">
        <v>0</v>
      </c>
      <c r="AB101" s="2">
        <v>0</v>
      </c>
      <c r="AC101" s="2">
        <v>0</v>
      </c>
      <c r="AD101" s="2">
        <v>1</v>
      </c>
      <c r="AE101" s="2">
        <v>99</v>
      </c>
      <c r="AF101" s="2">
        <v>86</v>
      </c>
      <c r="AG101" s="2">
        <v>1</v>
      </c>
      <c r="AH101" s="2">
        <v>1</v>
      </c>
      <c r="AI101" s="2">
        <v>0</v>
      </c>
      <c r="AJ101" s="2">
        <v>12</v>
      </c>
    </row>
    <row r="102" spans="1:36" x14ac:dyDescent="0.35">
      <c r="A102" t="s">
        <v>289</v>
      </c>
      <c r="B102" t="s">
        <v>290</v>
      </c>
      <c r="C102" s="2">
        <v>18</v>
      </c>
      <c r="D102" s="2">
        <v>23</v>
      </c>
      <c r="E102" s="2">
        <v>35</v>
      </c>
      <c r="F102" s="2">
        <v>24</v>
      </c>
      <c r="G102" s="2">
        <v>40</v>
      </c>
      <c r="H102" s="2">
        <v>60</v>
      </c>
      <c r="I102" s="2">
        <v>85</v>
      </c>
      <c r="J102" s="2">
        <v>3</v>
      </c>
      <c r="K102" s="2">
        <v>1</v>
      </c>
      <c r="L102" s="2">
        <v>3</v>
      </c>
      <c r="M102" s="2">
        <v>1</v>
      </c>
      <c r="N102" s="2">
        <v>7</v>
      </c>
      <c r="O102" s="2">
        <v>17</v>
      </c>
      <c r="P102" s="2">
        <v>26</v>
      </c>
      <c r="Q102" s="2">
        <v>22</v>
      </c>
      <c r="R102" s="2">
        <v>21</v>
      </c>
      <c r="S102" s="2">
        <v>14</v>
      </c>
      <c r="T102" s="2">
        <v>73</v>
      </c>
      <c r="U102" s="2">
        <v>4</v>
      </c>
      <c r="V102" s="2">
        <v>23</v>
      </c>
      <c r="W102" s="2">
        <v>30</v>
      </c>
      <c r="X102" s="2">
        <v>11</v>
      </c>
      <c r="Y102" s="2">
        <v>25</v>
      </c>
      <c r="Z102" s="2">
        <v>7</v>
      </c>
      <c r="AA102" s="2">
        <v>6</v>
      </c>
      <c r="AB102" s="2">
        <v>7</v>
      </c>
      <c r="AC102" s="2">
        <v>15</v>
      </c>
      <c r="AD102" s="2">
        <v>30</v>
      </c>
      <c r="AE102" s="2">
        <v>43</v>
      </c>
      <c r="AF102" s="2">
        <v>44</v>
      </c>
      <c r="AG102" s="2">
        <v>27</v>
      </c>
      <c r="AH102" s="2">
        <v>11</v>
      </c>
      <c r="AI102" s="2">
        <v>6</v>
      </c>
      <c r="AJ102" s="2">
        <v>11</v>
      </c>
    </row>
    <row r="103" spans="1:36" x14ac:dyDescent="0.35">
      <c r="A103" t="s">
        <v>291</v>
      </c>
      <c r="B103" t="s">
        <v>292</v>
      </c>
      <c r="C103" s="2">
        <v>42</v>
      </c>
      <c r="D103" s="2">
        <v>25</v>
      </c>
      <c r="E103" s="2">
        <v>22</v>
      </c>
      <c r="F103" s="2">
        <v>11</v>
      </c>
      <c r="G103" s="2">
        <v>45</v>
      </c>
      <c r="H103" s="2">
        <v>55</v>
      </c>
      <c r="I103" s="2">
        <v>61</v>
      </c>
      <c r="J103" s="2">
        <v>10</v>
      </c>
      <c r="K103" s="2">
        <v>7</v>
      </c>
      <c r="L103" s="2">
        <v>6</v>
      </c>
      <c r="M103" s="2">
        <v>11</v>
      </c>
      <c r="N103" s="2">
        <v>5</v>
      </c>
      <c r="O103" s="2">
        <v>17</v>
      </c>
      <c r="P103" s="2">
        <v>21</v>
      </c>
      <c r="Q103" s="2">
        <v>26</v>
      </c>
      <c r="R103" s="2">
        <v>23</v>
      </c>
      <c r="S103" s="2">
        <v>14</v>
      </c>
      <c r="T103" s="2">
        <v>28</v>
      </c>
      <c r="U103" s="2">
        <v>5</v>
      </c>
      <c r="V103" s="2">
        <v>67</v>
      </c>
      <c r="W103" s="2"/>
      <c r="X103" s="2">
        <v>20</v>
      </c>
      <c r="Y103" s="2">
        <v>5</v>
      </c>
      <c r="Z103" s="2">
        <v>3</v>
      </c>
      <c r="AA103" s="2">
        <v>1</v>
      </c>
      <c r="AB103" s="2">
        <v>1</v>
      </c>
      <c r="AC103" s="2">
        <v>0</v>
      </c>
      <c r="AD103" s="2">
        <v>1</v>
      </c>
      <c r="AE103" s="2">
        <v>97</v>
      </c>
      <c r="AF103" s="2">
        <v>31</v>
      </c>
      <c r="AG103" s="2">
        <v>11</v>
      </c>
      <c r="AH103" s="2">
        <v>4</v>
      </c>
      <c r="AI103" s="2">
        <v>3</v>
      </c>
      <c r="AJ103" s="2">
        <v>51</v>
      </c>
    </row>
    <row r="104" spans="1:36" x14ac:dyDescent="0.35">
      <c r="A104" t="s">
        <v>293</v>
      </c>
      <c r="B104" t="s">
        <v>294</v>
      </c>
      <c r="C104" s="2">
        <v>27</v>
      </c>
      <c r="D104" s="2">
        <v>21</v>
      </c>
      <c r="E104" s="2">
        <v>33</v>
      </c>
      <c r="F104" s="2">
        <v>20</v>
      </c>
      <c r="G104" s="2">
        <v>42</v>
      </c>
      <c r="H104" s="2">
        <v>58</v>
      </c>
      <c r="I104" s="2">
        <v>80</v>
      </c>
      <c r="J104" s="2">
        <v>5</v>
      </c>
      <c r="K104" s="2">
        <v>1</v>
      </c>
      <c r="L104" s="2">
        <v>3</v>
      </c>
      <c r="M104" s="2">
        <v>2</v>
      </c>
      <c r="N104" s="2">
        <v>8</v>
      </c>
      <c r="O104" s="2">
        <v>26</v>
      </c>
      <c r="P104" s="2">
        <v>23</v>
      </c>
      <c r="Q104" s="2">
        <v>24</v>
      </c>
      <c r="R104" s="2">
        <v>15</v>
      </c>
      <c r="S104" s="2">
        <v>11</v>
      </c>
      <c r="T104" s="2">
        <v>82</v>
      </c>
      <c r="U104" s="2">
        <v>9</v>
      </c>
      <c r="V104" s="2">
        <v>9</v>
      </c>
      <c r="W104" s="2">
        <v>18</v>
      </c>
      <c r="X104" s="2">
        <v>12</v>
      </c>
      <c r="Y104" s="2">
        <v>31</v>
      </c>
      <c r="Z104" s="2">
        <v>22</v>
      </c>
      <c r="AA104" s="2">
        <v>24</v>
      </c>
      <c r="AB104" s="2">
        <v>11</v>
      </c>
      <c r="AC104" s="2">
        <v>13</v>
      </c>
      <c r="AD104" s="2">
        <v>25</v>
      </c>
      <c r="AE104" s="2">
        <v>28</v>
      </c>
      <c r="AF104" s="2">
        <v>71</v>
      </c>
      <c r="AG104" s="2">
        <v>17</v>
      </c>
      <c r="AH104" s="2">
        <v>2</v>
      </c>
      <c r="AI104" s="2">
        <v>4</v>
      </c>
      <c r="AJ104" s="2">
        <v>5</v>
      </c>
    </row>
    <row r="105" spans="1:36" x14ac:dyDescent="0.35">
      <c r="A105" t="s">
        <v>295</v>
      </c>
      <c r="B105" t="s">
        <v>296</v>
      </c>
      <c r="C105" s="2">
        <v>28</v>
      </c>
      <c r="D105" s="2">
        <v>21</v>
      </c>
      <c r="E105" s="2">
        <v>29</v>
      </c>
      <c r="F105" s="2">
        <v>23</v>
      </c>
      <c r="G105" s="2">
        <v>42</v>
      </c>
      <c r="H105" s="2">
        <v>58</v>
      </c>
      <c r="I105" s="2">
        <v>71</v>
      </c>
      <c r="J105" s="2">
        <v>11</v>
      </c>
      <c r="K105" s="2">
        <v>4</v>
      </c>
      <c r="L105" s="2">
        <v>5</v>
      </c>
      <c r="M105" s="2">
        <v>4</v>
      </c>
      <c r="N105" s="2">
        <v>5</v>
      </c>
      <c r="O105" s="2">
        <v>17</v>
      </c>
      <c r="P105" s="2">
        <v>19</v>
      </c>
      <c r="Q105" s="2">
        <v>18</v>
      </c>
      <c r="R105" s="2">
        <v>18</v>
      </c>
      <c r="S105" s="2">
        <v>29</v>
      </c>
      <c r="T105" s="2">
        <v>78</v>
      </c>
      <c r="U105" s="2">
        <v>9</v>
      </c>
      <c r="V105" s="2">
        <v>14</v>
      </c>
      <c r="W105" s="2">
        <v>15</v>
      </c>
      <c r="X105" s="2">
        <v>10</v>
      </c>
      <c r="Y105" s="2">
        <v>31</v>
      </c>
      <c r="Z105" s="2">
        <v>21</v>
      </c>
      <c r="AA105" s="2">
        <v>4</v>
      </c>
      <c r="AB105" s="2">
        <v>3</v>
      </c>
      <c r="AC105" s="2">
        <v>8</v>
      </c>
      <c r="AD105" s="2">
        <v>9</v>
      </c>
      <c r="AE105" s="2">
        <v>77</v>
      </c>
      <c r="AF105" s="2">
        <v>38</v>
      </c>
      <c r="AG105" s="2">
        <v>28</v>
      </c>
      <c r="AH105" s="2">
        <v>9</v>
      </c>
      <c r="AI105" s="2">
        <v>4</v>
      </c>
      <c r="AJ105" s="2">
        <v>20</v>
      </c>
    </row>
    <row r="106" spans="1:36" x14ac:dyDescent="0.35">
      <c r="A106" t="s">
        <v>297</v>
      </c>
      <c r="B106" t="s">
        <v>298</v>
      </c>
      <c r="C106" s="2">
        <v>25</v>
      </c>
      <c r="D106" s="2">
        <v>19</v>
      </c>
      <c r="E106" s="2">
        <v>32</v>
      </c>
      <c r="F106" s="2">
        <v>24</v>
      </c>
      <c r="G106" s="2">
        <v>37</v>
      </c>
      <c r="H106" s="2">
        <v>63</v>
      </c>
      <c r="I106" s="2">
        <v>85</v>
      </c>
      <c r="J106" s="2">
        <v>2</v>
      </c>
      <c r="K106" s="2">
        <v>1</v>
      </c>
      <c r="L106" s="2">
        <v>4</v>
      </c>
      <c r="M106" s="2">
        <v>4</v>
      </c>
      <c r="N106" s="2">
        <v>4</v>
      </c>
      <c r="O106" s="2">
        <v>25</v>
      </c>
      <c r="P106" s="2">
        <v>27</v>
      </c>
      <c r="Q106" s="2">
        <v>18</v>
      </c>
      <c r="R106" s="2">
        <v>16</v>
      </c>
      <c r="S106" s="2">
        <v>14</v>
      </c>
      <c r="T106" s="2">
        <v>80</v>
      </c>
      <c r="U106" s="2">
        <v>6</v>
      </c>
      <c r="V106" s="2">
        <v>14</v>
      </c>
      <c r="W106" s="2">
        <v>24</v>
      </c>
      <c r="X106" s="2">
        <v>8</v>
      </c>
      <c r="Y106" s="2">
        <v>24</v>
      </c>
      <c r="Z106" s="2">
        <v>24</v>
      </c>
      <c r="AA106" s="2">
        <v>3</v>
      </c>
      <c r="AB106" s="2">
        <v>2</v>
      </c>
      <c r="AC106" s="2">
        <v>4</v>
      </c>
      <c r="AD106" s="2">
        <v>11</v>
      </c>
      <c r="AE106" s="2">
        <v>81</v>
      </c>
      <c r="AF106" s="2">
        <v>31</v>
      </c>
      <c r="AG106" s="2">
        <v>27</v>
      </c>
      <c r="AH106" s="2">
        <v>9</v>
      </c>
      <c r="AI106" s="2">
        <v>2</v>
      </c>
      <c r="AJ106" s="2">
        <v>32</v>
      </c>
    </row>
    <row r="107" spans="1:36" x14ac:dyDescent="0.35">
      <c r="A107" t="s">
        <v>299</v>
      </c>
      <c r="B107" t="s">
        <v>300</v>
      </c>
      <c r="C107" s="2">
        <v>25</v>
      </c>
      <c r="D107" s="2">
        <v>25</v>
      </c>
      <c r="E107" s="2">
        <v>31</v>
      </c>
      <c r="F107" s="2">
        <v>19</v>
      </c>
      <c r="G107" s="2">
        <v>45</v>
      </c>
      <c r="H107" s="2">
        <v>55</v>
      </c>
      <c r="I107" s="2">
        <v>76</v>
      </c>
      <c r="J107" s="2">
        <v>9</v>
      </c>
      <c r="K107" s="2">
        <v>2</v>
      </c>
      <c r="L107" s="2">
        <v>2</v>
      </c>
      <c r="M107" s="2">
        <v>3</v>
      </c>
      <c r="N107" s="2">
        <v>7</v>
      </c>
      <c r="O107" s="2">
        <v>20</v>
      </c>
      <c r="P107" s="2">
        <v>20</v>
      </c>
      <c r="Q107" s="2">
        <v>24</v>
      </c>
      <c r="R107" s="2">
        <v>20</v>
      </c>
      <c r="S107" s="2">
        <v>16</v>
      </c>
      <c r="T107" s="2">
        <v>85</v>
      </c>
      <c r="U107" s="2">
        <v>7</v>
      </c>
      <c r="V107" s="2">
        <v>7</v>
      </c>
      <c r="W107" s="2">
        <v>20</v>
      </c>
      <c r="X107" s="2">
        <v>15</v>
      </c>
      <c r="Y107" s="2">
        <v>27</v>
      </c>
      <c r="Z107" s="2">
        <v>24</v>
      </c>
      <c r="AA107" s="2">
        <v>11</v>
      </c>
      <c r="AB107" s="2">
        <v>11</v>
      </c>
      <c r="AC107" s="2">
        <v>12</v>
      </c>
      <c r="AD107" s="2">
        <v>15</v>
      </c>
      <c r="AE107" s="2">
        <v>52</v>
      </c>
      <c r="AF107" s="2">
        <v>52</v>
      </c>
      <c r="AG107" s="2">
        <v>7</v>
      </c>
      <c r="AH107" s="2">
        <v>5</v>
      </c>
      <c r="AI107" s="2">
        <v>7</v>
      </c>
      <c r="AJ107" s="2">
        <v>29</v>
      </c>
    </row>
    <row r="108" spans="1:36" x14ac:dyDescent="0.35">
      <c r="A108" t="s">
        <v>301</v>
      </c>
      <c r="B108" t="s">
        <v>302</v>
      </c>
      <c r="C108" s="2">
        <v>18</v>
      </c>
      <c r="D108" s="2">
        <v>21</v>
      </c>
      <c r="E108" s="2">
        <v>36</v>
      </c>
      <c r="F108" s="2">
        <v>25</v>
      </c>
      <c r="G108" s="2">
        <v>42</v>
      </c>
      <c r="H108" s="2">
        <v>58</v>
      </c>
      <c r="I108" s="2">
        <v>82</v>
      </c>
      <c r="J108" s="2">
        <v>4</v>
      </c>
      <c r="K108" s="2">
        <v>4</v>
      </c>
      <c r="L108" s="2">
        <v>2</v>
      </c>
      <c r="M108" s="2">
        <v>1</v>
      </c>
      <c r="N108" s="2">
        <v>6</v>
      </c>
      <c r="O108" s="2">
        <v>29</v>
      </c>
      <c r="P108" s="2">
        <v>32</v>
      </c>
      <c r="Q108" s="2">
        <v>23</v>
      </c>
      <c r="R108" s="2">
        <v>13</v>
      </c>
      <c r="S108" s="2">
        <v>3</v>
      </c>
      <c r="T108" s="2">
        <v>85</v>
      </c>
      <c r="U108" s="2">
        <v>7</v>
      </c>
      <c r="V108" s="2">
        <v>8</v>
      </c>
      <c r="W108" s="2">
        <v>18</v>
      </c>
      <c r="X108" s="2">
        <v>15</v>
      </c>
      <c r="Y108" s="2">
        <v>34</v>
      </c>
      <c r="Z108" s="2">
        <v>18</v>
      </c>
      <c r="AA108" s="2">
        <v>17</v>
      </c>
      <c r="AB108" s="2">
        <v>6</v>
      </c>
      <c r="AC108" s="2">
        <v>9</v>
      </c>
      <c r="AD108" s="2">
        <v>33</v>
      </c>
      <c r="AE108" s="2">
        <v>35</v>
      </c>
      <c r="AF108" s="2">
        <v>16</v>
      </c>
      <c r="AG108" s="2">
        <v>11</v>
      </c>
      <c r="AH108" s="2">
        <v>4</v>
      </c>
      <c r="AI108" s="2">
        <v>2</v>
      </c>
      <c r="AJ108" s="2">
        <v>67</v>
      </c>
    </row>
    <row r="109" spans="1:36" x14ac:dyDescent="0.35">
      <c r="A109" t="s">
        <v>495</v>
      </c>
      <c r="B109" t="s">
        <v>303</v>
      </c>
      <c r="C109" s="2">
        <v>21</v>
      </c>
      <c r="D109" s="2">
        <v>22</v>
      </c>
      <c r="E109" s="2">
        <v>31</v>
      </c>
      <c r="F109" s="2">
        <v>26</v>
      </c>
      <c r="G109" s="2">
        <v>45</v>
      </c>
      <c r="H109" s="2">
        <v>55</v>
      </c>
      <c r="I109" s="2">
        <v>78</v>
      </c>
      <c r="J109" s="2">
        <v>7</v>
      </c>
      <c r="K109" s="2">
        <v>2</v>
      </c>
      <c r="L109" s="2">
        <v>4</v>
      </c>
      <c r="M109" s="2">
        <v>3</v>
      </c>
      <c r="N109" s="2">
        <v>6</v>
      </c>
      <c r="O109" s="2">
        <v>30</v>
      </c>
      <c r="P109" s="2">
        <v>23</v>
      </c>
      <c r="Q109" s="2">
        <v>21</v>
      </c>
      <c r="R109" s="2">
        <v>13</v>
      </c>
      <c r="S109" s="2">
        <v>13</v>
      </c>
      <c r="T109" s="2">
        <v>81</v>
      </c>
      <c r="U109" s="2">
        <v>7</v>
      </c>
      <c r="V109" s="2">
        <v>13</v>
      </c>
      <c r="W109" s="2">
        <v>22</v>
      </c>
      <c r="X109" s="2">
        <v>9</v>
      </c>
      <c r="Y109" s="2">
        <v>30</v>
      </c>
      <c r="Z109" s="2">
        <v>19</v>
      </c>
      <c r="AA109" s="2">
        <v>17</v>
      </c>
      <c r="AB109" s="2">
        <v>8</v>
      </c>
      <c r="AC109" s="2">
        <v>10</v>
      </c>
      <c r="AD109" s="2">
        <v>26</v>
      </c>
      <c r="AE109" s="2">
        <v>39</v>
      </c>
      <c r="AF109" s="2">
        <v>55</v>
      </c>
      <c r="AG109" s="2">
        <v>19</v>
      </c>
      <c r="AH109" s="2">
        <v>9</v>
      </c>
      <c r="AI109" s="2">
        <v>6</v>
      </c>
      <c r="AJ109" s="2">
        <v>11</v>
      </c>
    </row>
    <row r="110" spans="1:36" x14ac:dyDescent="0.35">
      <c r="A110" t="s">
        <v>500</v>
      </c>
      <c r="B110" t="s">
        <v>304</v>
      </c>
      <c r="C110" s="2">
        <v>26</v>
      </c>
      <c r="D110" s="2">
        <v>21</v>
      </c>
      <c r="E110" s="2">
        <v>31</v>
      </c>
      <c r="F110" s="2">
        <v>22</v>
      </c>
      <c r="G110" s="2">
        <v>41</v>
      </c>
      <c r="H110" s="2">
        <v>59</v>
      </c>
      <c r="I110" s="2">
        <v>85</v>
      </c>
      <c r="J110" s="2">
        <v>9</v>
      </c>
      <c r="K110" s="2">
        <v>1</v>
      </c>
      <c r="L110" s="2">
        <v>1</v>
      </c>
      <c r="M110" s="2">
        <v>1</v>
      </c>
      <c r="N110" s="2">
        <v>2</v>
      </c>
      <c r="O110" s="2">
        <v>30</v>
      </c>
      <c r="P110" s="2">
        <v>32</v>
      </c>
      <c r="Q110" s="2">
        <v>16</v>
      </c>
      <c r="R110" s="2">
        <v>13</v>
      </c>
      <c r="S110" s="2">
        <v>9</v>
      </c>
      <c r="T110" s="2">
        <v>87</v>
      </c>
      <c r="U110" s="2">
        <v>4</v>
      </c>
      <c r="V110" s="2">
        <v>9</v>
      </c>
      <c r="W110" s="2">
        <v>21</v>
      </c>
      <c r="X110" s="2">
        <v>11</v>
      </c>
      <c r="Y110" s="2">
        <v>30</v>
      </c>
      <c r="Z110" s="2">
        <v>25</v>
      </c>
      <c r="AA110" s="2">
        <v>3</v>
      </c>
      <c r="AB110" s="2">
        <v>1</v>
      </c>
      <c r="AC110" s="2">
        <v>3</v>
      </c>
      <c r="AD110" s="2">
        <v>7</v>
      </c>
      <c r="AE110" s="2">
        <v>85</v>
      </c>
      <c r="AF110" s="2">
        <v>1</v>
      </c>
      <c r="AG110" s="2">
        <v>1</v>
      </c>
      <c r="AH110" s="2">
        <v>1</v>
      </c>
      <c r="AI110" s="2">
        <v>0</v>
      </c>
      <c r="AJ110" s="2">
        <v>96</v>
      </c>
    </row>
    <row r="111" spans="1:36" x14ac:dyDescent="0.35">
      <c r="A111" t="s">
        <v>497</v>
      </c>
      <c r="B111" t="s">
        <v>305</v>
      </c>
      <c r="C111" s="2">
        <v>18</v>
      </c>
      <c r="D111" s="2">
        <v>21</v>
      </c>
      <c r="E111" s="2">
        <v>38</v>
      </c>
      <c r="F111" s="2">
        <v>23</v>
      </c>
      <c r="G111" s="2">
        <v>44</v>
      </c>
      <c r="H111" s="2">
        <v>56</v>
      </c>
      <c r="I111" s="2">
        <v>86</v>
      </c>
      <c r="J111" s="2">
        <v>3</v>
      </c>
      <c r="K111" s="2">
        <v>1</v>
      </c>
      <c r="L111" s="2">
        <v>4</v>
      </c>
      <c r="M111" s="2">
        <v>1</v>
      </c>
      <c r="N111" s="2">
        <v>5</v>
      </c>
      <c r="O111" s="2">
        <v>19</v>
      </c>
      <c r="P111" s="2">
        <v>31</v>
      </c>
      <c r="Q111" s="2">
        <v>25</v>
      </c>
      <c r="R111" s="2">
        <v>15</v>
      </c>
      <c r="S111" s="2">
        <v>9</v>
      </c>
      <c r="T111" s="2">
        <v>85</v>
      </c>
      <c r="U111" s="2">
        <v>4</v>
      </c>
      <c r="V111" s="2">
        <v>11</v>
      </c>
      <c r="W111" s="2">
        <v>22</v>
      </c>
      <c r="X111" s="2">
        <v>17</v>
      </c>
      <c r="Y111" s="2">
        <v>25</v>
      </c>
      <c r="Z111" s="2">
        <v>21</v>
      </c>
      <c r="AA111" s="2">
        <v>9</v>
      </c>
      <c r="AB111" s="2">
        <v>5</v>
      </c>
      <c r="AC111" s="2">
        <v>10</v>
      </c>
      <c r="AD111" s="2">
        <v>27</v>
      </c>
      <c r="AE111" s="2">
        <v>48</v>
      </c>
      <c r="AF111" s="2">
        <v>55</v>
      </c>
      <c r="AG111" s="2">
        <v>24</v>
      </c>
      <c r="AH111" s="2">
        <v>11</v>
      </c>
      <c r="AI111" s="2">
        <v>1</v>
      </c>
      <c r="AJ111" s="2">
        <v>8</v>
      </c>
    </row>
    <row r="112" spans="1:36" x14ac:dyDescent="0.35">
      <c r="A112" t="s">
        <v>480</v>
      </c>
      <c r="B112" t="s">
        <v>306</v>
      </c>
      <c r="C112" s="2">
        <v>20</v>
      </c>
      <c r="D112" s="2">
        <v>24</v>
      </c>
      <c r="E112" s="2">
        <v>33</v>
      </c>
      <c r="F112" s="2">
        <v>23</v>
      </c>
      <c r="G112" s="2">
        <v>48</v>
      </c>
      <c r="H112" s="2">
        <v>52</v>
      </c>
      <c r="I112" s="2">
        <v>94</v>
      </c>
      <c r="J112" s="2">
        <v>2</v>
      </c>
      <c r="K112" s="2">
        <v>1</v>
      </c>
      <c r="L112" s="2">
        <v>1</v>
      </c>
      <c r="M112" s="2">
        <v>1</v>
      </c>
      <c r="N112" s="2">
        <v>2</v>
      </c>
      <c r="O112" s="2">
        <v>20</v>
      </c>
      <c r="P112" s="2">
        <v>24</v>
      </c>
      <c r="Q112" s="2">
        <v>22</v>
      </c>
      <c r="R112" s="2">
        <v>16</v>
      </c>
      <c r="S112" s="2">
        <v>19</v>
      </c>
      <c r="T112" s="2">
        <v>88</v>
      </c>
      <c r="U112" s="2">
        <v>5</v>
      </c>
      <c r="V112" s="2">
        <v>7</v>
      </c>
      <c r="W112" s="2">
        <v>27</v>
      </c>
      <c r="X112" s="2">
        <v>13</v>
      </c>
      <c r="Y112" s="2">
        <v>13</v>
      </c>
      <c r="Z112" s="2">
        <v>35</v>
      </c>
      <c r="AA112" s="2">
        <v>4</v>
      </c>
      <c r="AB112" s="2">
        <v>6</v>
      </c>
      <c r="AC112" s="2">
        <v>11</v>
      </c>
      <c r="AD112" s="2">
        <v>23</v>
      </c>
      <c r="AE112" s="2">
        <v>56</v>
      </c>
      <c r="AF112" s="2">
        <v>31</v>
      </c>
      <c r="AG112" s="2">
        <v>16</v>
      </c>
      <c r="AH112" s="2">
        <v>5</v>
      </c>
      <c r="AI112" s="2">
        <v>5</v>
      </c>
      <c r="AJ112" s="2">
        <v>43</v>
      </c>
    </row>
    <row r="113" spans="1:36" x14ac:dyDescent="0.35">
      <c r="A113" t="s">
        <v>482</v>
      </c>
      <c r="B113" t="s">
        <v>237</v>
      </c>
      <c r="C113" s="2">
        <v>14</v>
      </c>
      <c r="D113" s="2">
        <v>30</v>
      </c>
      <c r="E113" s="2">
        <v>35</v>
      </c>
      <c r="F113" s="2">
        <v>21</v>
      </c>
      <c r="G113" s="2">
        <v>41</v>
      </c>
      <c r="H113" s="2">
        <v>59</v>
      </c>
      <c r="I113" s="2">
        <v>92</v>
      </c>
      <c r="J113" s="2">
        <v>2</v>
      </c>
      <c r="K113" s="2">
        <v>0</v>
      </c>
      <c r="L113" s="2">
        <v>1</v>
      </c>
      <c r="M113" s="2">
        <v>1</v>
      </c>
      <c r="N113" s="2">
        <v>4</v>
      </c>
      <c r="O113" s="2">
        <v>9</v>
      </c>
      <c r="P113" s="2">
        <v>22</v>
      </c>
      <c r="Q113" s="2">
        <v>30</v>
      </c>
      <c r="R113" s="2">
        <v>24</v>
      </c>
      <c r="S113" s="2">
        <v>15</v>
      </c>
      <c r="T113" s="2">
        <v>88</v>
      </c>
      <c r="U113" s="2">
        <v>5</v>
      </c>
      <c r="V113" s="2">
        <v>7</v>
      </c>
      <c r="W113" s="2">
        <v>25</v>
      </c>
      <c r="X113" s="2">
        <v>11</v>
      </c>
      <c r="Y113" s="2">
        <v>32</v>
      </c>
      <c r="Z113" s="2">
        <v>19</v>
      </c>
      <c r="AA113" s="2">
        <v>4</v>
      </c>
      <c r="AB113" s="2">
        <v>2</v>
      </c>
      <c r="AC113" s="2">
        <v>6</v>
      </c>
      <c r="AD113" s="2">
        <v>12</v>
      </c>
      <c r="AE113" s="2">
        <v>76</v>
      </c>
      <c r="AF113" s="2">
        <v>14</v>
      </c>
      <c r="AG113" s="2">
        <v>7</v>
      </c>
      <c r="AH113" s="2">
        <v>3</v>
      </c>
      <c r="AI113" s="2">
        <v>1</v>
      </c>
      <c r="AJ113" s="2">
        <v>75</v>
      </c>
    </row>
    <row r="114" spans="1:36" x14ac:dyDescent="0.35">
      <c r="A114" t="s">
        <v>307</v>
      </c>
      <c r="B114" t="s">
        <v>308</v>
      </c>
      <c r="C114" s="2">
        <v>17</v>
      </c>
      <c r="D114" s="2">
        <v>21</v>
      </c>
      <c r="E114" s="2">
        <v>34</v>
      </c>
      <c r="F114" s="2">
        <v>27</v>
      </c>
      <c r="G114" s="2">
        <v>43</v>
      </c>
      <c r="H114" s="2">
        <v>57</v>
      </c>
      <c r="I114" s="2">
        <v>80</v>
      </c>
      <c r="J114" s="2">
        <v>5</v>
      </c>
      <c r="K114" s="2">
        <v>2</v>
      </c>
      <c r="L114" s="2">
        <v>2</v>
      </c>
      <c r="M114" s="2">
        <v>3</v>
      </c>
      <c r="N114" s="2">
        <v>8</v>
      </c>
      <c r="O114" s="2">
        <v>26</v>
      </c>
      <c r="P114" s="2">
        <v>25</v>
      </c>
      <c r="Q114" s="2">
        <v>30</v>
      </c>
      <c r="R114" s="2">
        <v>12</v>
      </c>
      <c r="S114" s="2">
        <v>7</v>
      </c>
      <c r="T114" s="2">
        <v>88</v>
      </c>
      <c r="U114" s="2">
        <v>4</v>
      </c>
      <c r="V114" s="2">
        <v>8</v>
      </c>
      <c r="W114" s="2">
        <v>23</v>
      </c>
      <c r="X114" s="2">
        <v>13</v>
      </c>
      <c r="Y114" s="2">
        <v>26</v>
      </c>
      <c r="Z114" s="2">
        <v>25</v>
      </c>
      <c r="AA114" s="2">
        <v>4</v>
      </c>
      <c r="AB114" s="2">
        <v>3</v>
      </c>
      <c r="AC114" s="2">
        <v>7</v>
      </c>
      <c r="AD114" s="2">
        <v>12</v>
      </c>
      <c r="AE114" s="2">
        <v>74</v>
      </c>
      <c r="AF114" s="2">
        <v>22</v>
      </c>
      <c r="AG114" s="2">
        <v>20</v>
      </c>
      <c r="AH114" s="2">
        <v>4</v>
      </c>
      <c r="AI114" s="2">
        <v>3</v>
      </c>
      <c r="AJ114" s="2">
        <v>52</v>
      </c>
    </row>
    <row r="115" spans="1:36" x14ac:dyDescent="0.35">
      <c r="A115" t="s">
        <v>309</v>
      </c>
      <c r="B115" t="s">
        <v>310</v>
      </c>
      <c r="C115" s="2">
        <v>22</v>
      </c>
      <c r="D115" s="2">
        <v>31</v>
      </c>
      <c r="E115" s="2">
        <v>31</v>
      </c>
      <c r="F115" s="2">
        <v>16</v>
      </c>
      <c r="G115" s="2">
        <v>43</v>
      </c>
      <c r="H115" s="2">
        <v>57</v>
      </c>
      <c r="I115" s="2">
        <v>81</v>
      </c>
      <c r="J115" s="2">
        <v>11</v>
      </c>
      <c r="K115" s="2">
        <v>0</v>
      </c>
      <c r="L115" s="2">
        <v>3</v>
      </c>
      <c r="M115" s="2">
        <v>0</v>
      </c>
      <c r="N115" s="2">
        <v>5</v>
      </c>
      <c r="O115" s="2">
        <v>23</v>
      </c>
      <c r="P115" s="2">
        <v>11</v>
      </c>
      <c r="Q115" s="2">
        <v>9</v>
      </c>
      <c r="R115" s="2">
        <v>16</v>
      </c>
      <c r="S115" s="2">
        <v>41</v>
      </c>
      <c r="T115" s="2">
        <v>76</v>
      </c>
      <c r="U115" s="2">
        <v>1</v>
      </c>
      <c r="V115" s="2">
        <v>23</v>
      </c>
      <c r="W115" s="2">
        <v>28</v>
      </c>
      <c r="X115" s="2">
        <v>12</v>
      </c>
      <c r="Y115" s="2">
        <v>16</v>
      </c>
      <c r="Z115" s="2">
        <v>19</v>
      </c>
      <c r="AA115" s="2">
        <v>1</v>
      </c>
      <c r="AB115" s="2">
        <v>3</v>
      </c>
      <c r="AC115" s="2">
        <v>18</v>
      </c>
      <c r="AD115" s="2">
        <v>11</v>
      </c>
      <c r="AE115" s="2">
        <v>68</v>
      </c>
      <c r="AF115" s="2">
        <v>20</v>
      </c>
      <c r="AG115" s="2">
        <v>7</v>
      </c>
      <c r="AH115" s="2">
        <v>0</v>
      </c>
      <c r="AI115" s="2">
        <v>1</v>
      </c>
      <c r="AJ115" s="2">
        <v>72</v>
      </c>
    </row>
    <row r="116" spans="1:36" x14ac:dyDescent="0.35">
      <c r="A116" t="s">
        <v>502</v>
      </c>
      <c r="B116" t="s">
        <v>311</v>
      </c>
      <c r="C116" s="2">
        <v>24</v>
      </c>
      <c r="D116" s="2">
        <v>25</v>
      </c>
      <c r="E116" s="2">
        <v>35</v>
      </c>
      <c r="F116" s="2">
        <v>16</v>
      </c>
      <c r="G116" s="2">
        <v>43</v>
      </c>
      <c r="H116" s="2">
        <v>57</v>
      </c>
      <c r="I116" s="2">
        <v>95</v>
      </c>
      <c r="J116" s="2">
        <v>2</v>
      </c>
      <c r="K116" s="2">
        <v>0</v>
      </c>
      <c r="L116" s="2">
        <v>2</v>
      </c>
      <c r="M116" s="2">
        <v>2</v>
      </c>
      <c r="N116" s="2">
        <v>0</v>
      </c>
      <c r="O116" s="2">
        <v>27</v>
      </c>
      <c r="P116" s="2">
        <v>27</v>
      </c>
      <c r="Q116" s="2">
        <v>11</v>
      </c>
      <c r="R116" s="2">
        <v>13</v>
      </c>
      <c r="S116" s="2">
        <v>22</v>
      </c>
      <c r="T116" s="2">
        <v>84</v>
      </c>
      <c r="U116" s="2">
        <v>5</v>
      </c>
      <c r="V116" s="2">
        <v>11</v>
      </c>
      <c r="W116" s="2">
        <v>21</v>
      </c>
      <c r="X116" s="2">
        <v>17</v>
      </c>
      <c r="Y116" s="2">
        <v>29</v>
      </c>
      <c r="Z116" s="2">
        <v>17</v>
      </c>
      <c r="AA116" s="2">
        <v>12</v>
      </c>
      <c r="AB116" s="2">
        <v>11</v>
      </c>
      <c r="AC116" s="2">
        <v>15</v>
      </c>
      <c r="AD116" s="2">
        <v>30</v>
      </c>
      <c r="AE116" s="2">
        <v>32</v>
      </c>
      <c r="AF116" s="2">
        <v>57</v>
      </c>
      <c r="AG116" s="2">
        <v>17</v>
      </c>
      <c r="AH116" s="2">
        <v>5</v>
      </c>
      <c r="AI116" s="2">
        <v>4</v>
      </c>
      <c r="AJ116" s="2">
        <v>17</v>
      </c>
    </row>
    <row r="117" spans="1:36" x14ac:dyDescent="0.35">
      <c r="A117" t="s">
        <v>501</v>
      </c>
      <c r="B117" t="s">
        <v>312</v>
      </c>
      <c r="C117" s="2">
        <v>25</v>
      </c>
      <c r="D117" s="2">
        <v>23</v>
      </c>
      <c r="E117" s="2">
        <v>31</v>
      </c>
      <c r="F117" s="2">
        <v>21</v>
      </c>
      <c r="G117" s="2">
        <v>42</v>
      </c>
      <c r="H117" s="2">
        <v>58</v>
      </c>
      <c r="I117" s="2">
        <v>85</v>
      </c>
      <c r="J117" s="2">
        <v>7</v>
      </c>
      <c r="K117" s="2">
        <v>2</v>
      </c>
      <c r="L117" s="2">
        <v>1</v>
      </c>
      <c r="M117" s="2">
        <v>1</v>
      </c>
      <c r="N117" s="2">
        <v>3</v>
      </c>
      <c r="O117" s="2">
        <v>47</v>
      </c>
      <c r="P117" s="2">
        <v>20</v>
      </c>
      <c r="Q117" s="2">
        <v>23</v>
      </c>
      <c r="R117" s="2">
        <v>8</v>
      </c>
      <c r="S117" s="2">
        <v>2</v>
      </c>
      <c r="T117" s="2">
        <v>89</v>
      </c>
      <c r="U117" s="2">
        <v>6</v>
      </c>
      <c r="V117" s="2">
        <v>6</v>
      </c>
      <c r="W117" s="2">
        <v>26</v>
      </c>
      <c r="X117" s="2">
        <v>11</v>
      </c>
      <c r="Y117" s="2">
        <v>33</v>
      </c>
      <c r="Z117" s="2">
        <v>19</v>
      </c>
      <c r="AA117" s="2">
        <v>5</v>
      </c>
      <c r="AB117" s="2">
        <v>6</v>
      </c>
      <c r="AC117" s="2">
        <v>5</v>
      </c>
      <c r="AD117" s="2">
        <v>21</v>
      </c>
      <c r="AE117" s="2">
        <v>63</v>
      </c>
      <c r="AF117" s="2">
        <v>50</v>
      </c>
      <c r="AG117" s="2">
        <v>23</v>
      </c>
      <c r="AH117" s="2">
        <v>8</v>
      </c>
      <c r="AI117" s="2">
        <v>8</v>
      </c>
      <c r="AJ117" s="2">
        <v>12</v>
      </c>
    </row>
    <row r="118" spans="1:36" x14ac:dyDescent="0.35">
      <c r="A118" t="s">
        <v>313</v>
      </c>
      <c r="B118" t="s">
        <v>314</v>
      </c>
      <c r="C118" s="2">
        <v>15</v>
      </c>
      <c r="D118" s="2">
        <v>21</v>
      </c>
      <c r="E118" s="2">
        <v>35</v>
      </c>
      <c r="F118" s="2">
        <v>29</v>
      </c>
      <c r="G118" s="2">
        <v>40</v>
      </c>
      <c r="H118" s="2">
        <v>60</v>
      </c>
      <c r="I118" s="2">
        <v>94</v>
      </c>
      <c r="J118" s="2">
        <v>1</v>
      </c>
      <c r="K118" s="2">
        <v>0</v>
      </c>
      <c r="L118" s="2">
        <v>1</v>
      </c>
      <c r="M118" s="2">
        <v>4</v>
      </c>
      <c r="N118" s="2">
        <v>1</v>
      </c>
      <c r="O118" s="2">
        <v>13</v>
      </c>
      <c r="P118" s="2">
        <v>34</v>
      </c>
      <c r="Q118" s="2">
        <v>35</v>
      </c>
      <c r="R118" s="2">
        <v>15</v>
      </c>
      <c r="S118" s="2">
        <v>3</v>
      </c>
      <c r="T118" s="2">
        <v>86</v>
      </c>
      <c r="U118" s="2">
        <v>4</v>
      </c>
      <c r="V118" s="2">
        <v>10</v>
      </c>
      <c r="W118" s="2">
        <v>17</v>
      </c>
      <c r="X118" s="2">
        <v>17</v>
      </c>
      <c r="Y118" s="2">
        <v>24</v>
      </c>
      <c r="Z118" s="2">
        <v>28</v>
      </c>
      <c r="AA118" s="2">
        <v>12</v>
      </c>
      <c r="AB118" s="2">
        <v>9</v>
      </c>
      <c r="AC118" s="2">
        <v>13</v>
      </c>
      <c r="AD118" s="2">
        <v>26</v>
      </c>
      <c r="AE118" s="2">
        <v>40</v>
      </c>
      <c r="AF118" s="2">
        <v>23</v>
      </c>
      <c r="AG118" s="2">
        <v>34</v>
      </c>
      <c r="AH118" s="2">
        <v>13</v>
      </c>
      <c r="AI118" s="2">
        <v>10</v>
      </c>
      <c r="AJ118" s="2">
        <v>19</v>
      </c>
    </row>
    <row r="119" spans="1:36" x14ac:dyDescent="0.35">
      <c r="A119" t="s">
        <v>483</v>
      </c>
      <c r="B119" t="s">
        <v>286</v>
      </c>
      <c r="C119" s="2">
        <v>29</v>
      </c>
      <c r="D119" s="2">
        <v>16</v>
      </c>
      <c r="E119" s="2">
        <v>38</v>
      </c>
      <c r="F119" s="2">
        <v>18</v>
      </c>
      <c r="G119" s="2">
        <v>33</v>
      </c>
      <c r="H119" s="2">
        <v>67</v>
      </c>
      <c r="I119" s="2">
        <v>47</v>
      </c>
      <c r="J119" s="2">
        <v>13</v>
      </c>
      <c r="K119" s="2">
        <v>13</v>
      </c>
      <c r="L119" s="2">
        <v>4</v>
      </c>
      <c r="M119" s="2">
        <v>9</v>
      </c>
      <c r="N119" s="2">
        <v>13</v>
      </c>
      <c r="O119" s="2">
        <v>11</v>
      </c>
      <c r="P119" s="2">
        <v>27</v>
      </c>
      <c r="Q119" s="2">
        <v>22</v>
      </c>
      <c r="R119" s="2">
        <v>20</v>
      </c>
      <c r="S119" s="2">
        <v>20</v>
      </c>
      <c r="T119" s="2">
        <v>69</v>
      </c>
      <c r="U119" s="2">
        <v>11</v>
      </c>
      <c r="V119" s="2">
        <v>20</v>
      </c>
      <c r="W119" s="2">
        <v>20</v>
      </c>
      <c r="X119" s="2">
        <v>13</v>
      </c>
      <c r="Y119" s="2">
        <v>16</v>
      </c>
      <c r="Z119" s="2">
        <v>20</v>
      </c>
      <c r="AA119" s="2">
        <v>2</v>
      </c>
      <c r="AB119" s="2">
        <v>0</v>
      </c>
      <c r="AC119" s="2">
        <v>0</v>
      </c>
      <c r="AD119" s="2">
        <v>0</v>
      </c>
      <c r="AE119" s="2">
        <v>98</v>
      </c>
      <c r="AF119" s="2">
        <v>7</v>
      </c>
      <c r="AG119" s="2">
        <v>2</v>
      </c>
      <c r="AH119" s="2">
        <v>2</v>
      </c>
      <c r="AI119" s="2">
        <v>2</v>
      </c>
      <c r="AJ119" s="2">
        <v>87</v>
      </c>
    </row>
    <row r="120" spans="1:36" x14ac:dyDescent="0.35">
      <c r="A120" t="s">
        <v>315</v>
      </c>
      <c r="B120" t="s">
        <v>316</v>
      </c>
      <c r="C120" s="2">
        <v>16</v>
      </c>
      <c r="D120" s="2">
        <v>22</v>
      </c>
      <c r="E120" s="2">
        <v>38</v>
      </c>
      <c r="F120" s="2">
        <v>23</v>
      </c>
      <c r="G120" s="2">
        <v>35</v>
      </c>
      <c r="H120" s="2">
        <v>65</v>
      </c>
      <c r="I120" s="2">
        <v>93</v>
      </c>
      <c r="J120" s="2">
        <v>2</v>
      </c>
      <c r="K120" s="2">
        <v>1</v>
      </c>
      <c r="L120" s="2">
        <v>3</v>
      </c>
      <c r="M120" s="2">
        <v>1</v>
      </c>
      <c r="N120" s="2">
        <v>1</v>
      </c>
      <c r="O120" s="2">
        <v>17</v>
      </c>
      <c r="P120" s="2">
        <v>23</v>
      </c>
      <c r="Q120" s="2">
        <v>22</v>
      </c>
      <c r="R120" s="2">
        <v>12</v>
      </c>
      <c r="S120" s="2">
        <v>25</v>
      </c>
      <c r="T120" s="2">
        <v>86</v>
      </c>
      <c r="U120" s="2">
        <v>5</v>
      </c>
      <c r="V120" s="2">
        <v>9</v>
      </c>
      <c r="W120" s="2">
        <v>26</v>
      </c>
      <c r="X120" s="2">
        <v>16</v>
      </c>
      <c r="Y120" s="2">
        <v>23</v>
      </c>
      <c r="Z120" s="2">
        <v>21</v>
      </c>
      <c r="AA120" s="2">
        <v>1</v>
      </c>
      <c r="AB120" s="2">
        <v>4</v>
      </c>
      <c r="AC120" s="2">
        <v>9</v>
      </c>
      <c r="AD120" s="2">
        <v>21</v>
      </c>
      <c r="AE120" s="2">
        <v>65</v>
      </c>
      <c r="AF120" s="2">
        <v>33</v>
      </c>
      <c r="AG120" s="2">
        <v>47</v>
      </c>
      <c r="AH120" s="2">
        <v>12</v>
      </c>
      <c r="AI120" s="2">
        <v>2</v>
      </c>
      <c r="AJ120" s="2">
        <v>6</v>
      </c>
    </row>
    <row r="121" spans="1:36" x14ac:dyDescent="0.35">
      <c r="A121" t="s">
        <v>317</v>
      </c>
      <c r="B121" t="s">
        <v>318</v>
      </c>
      <c r="C121" s="2">
        <v>15</v>
      </c>
      <c r="D121" s="2">
        <v>26</v>
      </c>
      <c r="E121" s="2">
        <v>35</v>
      </c>
      <c r="F121" s="2">
        <v>24</v>
      </c>
      <c r="G121" s="2">
        <v>44</v>
      </c>
      <c r="H121" s="2">
        <v>56</v>
      </c>
      <c r="I121" s="2">
        <v>87</v>
      </c>
      <c r="J121" s="2">
        <v>4</v>
      </c>
      <c r="K121" s="2">
        <v>2</v>
      </c>
      <c r="L121" s="2">
        <v>1</v>
      </c>
      <c r="M121" s="2">
        <v>2</v>
      </c>
      <c r="N121" s="2">
        <v>4</v>
      </c>
      <c r="O121" s="2">
        <v>20</v>
      </c>
      <c r="P121" s="2">
        <v>28</v>
      </c>
      <c r="Q121" s="2">
        <v>28</v>
      </c>
      <c r="R121" s="2">
        <v>14</v>
      </c>
      <c r="S121" s="2">
        <v>10</v>
      </c>
      <c r="T121" s="2">
        <v>81</v>
      </c>
      <c r="U121" s="2">
        <v>4</v>
      </c>
      <c r="V121" s="2">
        <v>15</v>
      </c>
      <c r="W121" s="2">
        <v>21</v>
      </c>
      <c r="X121" s="2">
        <v>13</v>
      </c>
      <c r="Y121" s="2">
        <v>30</v>
      </c>
      <c r="Z121" s="2">
        <v>18</v>
      </c>
      <c r="AA121" s="2">
        <v>6</v>
      </c>
      <c r="AB121" s="2">
        <v>4</v>
      </c>
      <c r="AC121" s="2">
        <v>11</v>
      </c>
      <c r="AD121" s="2">
        <v>17</v>
      </c>
      <c r="AE121" s="2">
        <v>61</v>
      </c>
      <c r="AF121" s="2">
        <v>42</v>
      </c>
      <c r="AG121" s="2">
        <v>16</v>
      </c>
      <c r="AH121" s="2">
        <v>6</v>
      </c>
      <c r="AI121" s="2">
        <v>4</v>
      </c>
      <c r="AJ121" s="2">
        <v>32</v>
      </c>
    </row>
    <row r="122" spans="1:36" x14ac:dyDescent="0.35">
      <c r="A122" t="s">
        <v>319</v>
      </c>
      <c r="B122" t="s">
        <v>320</v>
      </c>
      <c r="C122" s="2">
        <v>17</v>
      </c>
      <c r="D122" s="2">
        <v>26</v>
      </c>
      <c r="E122" s="2">
        <v>38</v>
      </c>
      <c r="F122" s="2">
        <v>19</v>
      </c>
      <c r="G122" s="2">
        <v>40</v>
      </c>
      <c r="H122" s="2">
        <v>60</v>
      </c>
      <c r="I122" s="2">
        <v>94</v>
      </c>
      <c r="J122" s="2">
        <v>0</v>
      </c>
      <c r="K122" s="2">
        <v>1</v>
      </c>
      <c r="L122" s="2">
        <v>2</v>
      </c>
      <c r="M122" s="2">
        <v>2</v>
      </c>
      <c r="N122" s="2">
        <v>2</v>
      </c>
      <c r="O122" s="2">
        <v>15</v>
      </c>
      <c r="P122" s="2">
        <v>26</v>
      </c>
      <c r="Q122" s="2">
        <v>12</v>
      </c>
      <c r="R122" s="2">
        <v>25</v>
      </c>
      <c r="S122" s="2">
        <v>21</v>
      </c>
      <c r="T122" s="2">
        <v>79</v>
      </c>
      <c r="U122" s="2">
        <v>8</v>
      </c>
      <c r="V122" s="2">
        <v>13</v>
      </c>
      <c r="W122" s="2">
        <v>19</v>
      </c>
      <c r="X122" s="2">
        <v>19</v>
      </c>
      <c r="Y122" s="2">
        <v>17</v>
      </c>
      <c r="Z122" s="2">
        <v>24</v>
      </c>
      <c r="AA122" s="2">
        <v>6</v>
      </c>
      <c r="AB122" s="2">
        <v>7</v>
      </c>
      <c r="AC122" s="2">
        <v>13</v>
      </c>
      <c r="AD122" s="2">
        <v>18</v>
      </c>
      <c r="AE122" s="2">
        <v>56</v>
      </c>
      <c r="AF122" s="2">
        <v>37</v>
      </c>
      <c r="AG122" s="2">
        <v>27</v>
      </c>
      <c r="AH122" s="2">
        <v>14</v>
      </c>
      <c r="AI122" s="2">
        <v>5</v>
      </c>
      <c r="AJ122" s="2">
        <v>17</v>
      </c>
    </row>
    <row r="123" spans="1:36" x14ac:dyDescent="0.35">
      <c r="A123" t="s">
        <v>321</v>
      </c>
      <c r="B123" t="s">
        <v>322</v>
      </c>
      <c r="C123" s="2">
        <v>15</v>
      </c>
      <c r="D123" s="2">
        <v>22</v>
      </c>
      <c r="E123" s="2">
        <v>47</v>
      </c>
      <c r="F123" s="2">
        <v>16</v>
      </c>
      <c r="G123" s="2">
        <v>38</v>
      </c>
      <c r="H123" s="2">
        <v>62</v>
      </c>
      <c r="I123" s="2">
        <v>78</v>
      </c>
      <c r="J123" s="2">
        <v>2</v>
      </c>
      <c r="K123" s="2">
        <v>5</v>
      </c>
      <c r="L123" s="2">
        <v>5</v>
      </c>
      <c r="M123" s="2">
        <v>2</v>
      </c>
      <c r="N123" s="2">
        <v>7</v>
      </c>
      <c r="O123" s="2">
        <v>7</v>
      </c>
      <c r="P123" s="2">
        <v>33</v>
      </c>
      <c r="Q123" s="2">
        <v>36</v>
      </c>
      <c r="R123" s="2">
        <v>11</v>
      </c>
      <c r="S123" s="2">
        <v>13</v>
      </c>
      <c r="T123" s="2">
        <v>62</v>
      </c>
      <c r="U123" s="2"/>
      <c r="V123" s="2">
        <v>38</v>
      </c>
      <c r="W123" s="2">
        <v>7</v>
      </c>
      <c r="X123" s="2">
        <v>5</v>
      </c>
      <c r="Y123" s="2">
        <v>16</v>
      </c>
      <c r="Z123" s="2">
        <v>33</v>
      </c>
      <c r="AA123" s="2">
        <v>0</v>
      </c>
      <c r="AB123" s="2">
        <v>2</v>
      </c>
      <c r="AC123" s="2">
        <v>0</v>
      </c>
      <c r="AD123" s="2">
        <v>2</v>
      </c>
      <c r="AE123" s="2">
        <v>96</v>
      </c>
      <c r="AF123" s="2">
        <v>16</v>
      </c>
      <c r="AG123" s="2">
        <v>7</v>
      </c>
      <c r="AH123" s="2">
        <v>0</v>
      </c>
      <c r="AI123" s="2">
        <v>0</v>
      </c>
      <c r="AJ123" s="2">
        <v>76</v>
      </c>
    </row>
    <row r="124" spans="1:36" x14ac:dyDescent="0.35">
      <c r="A124" t="s">
        <v>470</v>
      </c>
      <c r="B124" t="s">
        <v>323</v>
      </c>
      <c r="C124" s="2">
        <v>16</v>
      </c>
      <c r="D124" s="2">
        <v>23</v>
      </c>
      <c r="E124" s="2">
        <v>41</v>
      </c>
      <c r="F124" s="2">
        <v>21</v>
      </c>
      <c r="G124" s="2">
        <v>45</v>
      </c>
      <c r="H124" s="2">
        <v>55</v>
      </c>
      <c r="I124" s="2">
        <v>86</v>
      </c>
      <c r="J124" s="2">
        <v>3</v>
      </c>
      <c r="K124" s="2">
        <v>1</v>
      </c>
      <c r="L124" s="2">
        <v>4</v>
      </c>
      <c r="M124" s="2">
        <v>1</v>
      </c>
      <c r="N124" s="2">
        <v>5</v>
      </c>
      <c r="O124" s="2">
        <v>35</v>
      </c>
      <c r="P124" s="2">
        <v>23</v>
      </c>
      <c r="Q124" s="2">
        <v>23</v>
      </c>
      <c r="R124" s="2">
        <v>10</v>
      </c>
      <c r="S124" s="2">
        <v>9</v>
      </c>
      <c r="T124" s="2">
        <v>87</v>
      </c>
      <c r="U124" s="2">
        <v>6</v>
      </c>
      <c r="V124" s="2">
        <v>7</v>
      </c>
      <c r="W124" s="2">
        <v>21</v>
      </c>
      <c r="X124" s="2">
        <v>14</v>
      </c>
      <c r="Y124" s="2">
        <v>31</v>
      </c>
      <c r="Z124" s="2">
        <v>20</v>
      </c>
      <c r="AA124" s="2">
        <v>8</v>
      </c>
      <c r="AB124" s="2">
        <v>9</v>
      </c>
      <c r="AC124" s="2">
        <v>15</v>
      </c>
      <c r="AD124" s="2">
        <v>18</v>
      </c>
      <c r="AE124" s="2">
        <v>50</v>
      </c>
      <c r="AF124" s="2">
        <v>17</v>
      </c>
      <c r="AG124" s="2">
        <v>17</v>
      </c>
      <c r="AH124" s="2">
        <v>4</v>
      </c>
      <c r="AI124" s="2">
        <v>3</v>
      </c>
      <c r="AJ124" s="2">
        <v>58</v>
      </c>
    </row>
  </sheetData>
  <sortState xmlns:xlrd2="http://schemas.microsoft.com/office/spreadsheetml/2017/richdata2" ref="A2:AJ124">
    <sortCondition ref="A2:A124"/>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AI22"/>
  <sheetViews>
    <sheetView workbookViewId="0">
      <pane xSplit="1" ySplit="1" topLeftCell="B2" activePane="bottomRight" state="frozen"/>
      <selection pane="topRight"/>
      <selection pane="bottomLeft"/>
      <selection pane="bottomRight"/>
    </sheetView>
  </sheetViews>
  <sheetFormatPr defaultRowHeight="14.5" x14ac:dyDescent="0.35"/>
  <cols>
    <col min="1" max="1" width="43.453125" bestFit="1" customWidth="1"/>
    <col min="2" max="2" width="12.54296875" bestFit="1" customWidth="1"/>
    <col min="3" max="3" width="11.81640625" customWidth="1"/>
    <col min="4" max="4" width="7.453125" customWidth="1"/>
    <col min="5" max="5" width="16" customWidth="1"/>
    <col min="6" max="6" width="13.81640625" customWidth="1"/>
    <col min="7" max="7" width="9.453125" customWidth="1"/>
    <col min="8" max="8" width="7.453125" customWidth="1"/>
    <col min="9" max="9" width="8.1796875" customWidth="1"/>
    <col min="10" max="11" width="7.54296875" customWidth="1"/>
    <col min="12" max="12" width="7.26953125" customWidth="1"/>
    <col min="13" max="13" width="15" customWidth="1"/>
    <col min="14" max="14" width="9.453125" customWidth="1"/>
    <col min="15" max="15" width="10.1796875" customWidth="1"/>
    <col min="16" max="17" width="9.54296875" customWidth="1"/>
    <col min="18" max="18" width="9.26953125" customWidth="1"/>
    <col min="19" max="19" width="10.1796875" customWidth="1"/>
    <col min="20" max="22" width="7.1796875" customWidth="1"/>
    <col min="23" max="23" width="10.26953125" customWidth="1"/>
    <col min="24" max="24" width="17.81640625" bestFit="1" customWidth="1"/>
    <col min="25" max="25" width="17.7265625" bestFit="1" customWidth="1"/>
    <col min="26" max="29" width="10" bestFit="1" customWidth="1"/>
    <col min="30" max="30" width="16" bestFit="1" customWidth="1"/>
    <col min="31" max="33" width="7.1796875" bestFit="1" customWidth="1"/>
    <col min="34" max="34" width="9.1796875" bestFit="1" customWidth="1"/>
    <col min="35" max="35" width="13.1796875" bestFit="1" customWidth="1"/>
    <col min="36" max="36" width="12.453125" customWidth="1"/>
    <col min="37" max="38" width="5.1796875" customWidth="1"/>
    <col min="39" max="40" width="6.1796875" customWidth="1"/>
    <col min="41" max="41" width="5.1796875" customWidth="1"/>
    <col min="42" max="42" width="12.453125" customWidth="1"/>
    <col min="43" max="44" width="7.1796875" customWidth="1"/>
    <col min="45" max="46" width="8.1796875" customWidth="1"/>
    <col min="47" max="47" width="7.1796875" customWidth="1"/>
    <col min="48" max="52" width="6.1796875" customWidth="1"/>
    <col min="53" max="53" width="13.453125" customWidth="1"/>
    <col min="54" max="58" width="8.1796875" customWidth="1"/>
    <col min="59" max="62" width="23.7265625" customWidth="1"/>
    <col min="63" max="63" width="31" customWidth="1"/>
  </cols>
  <sheetData>
    <row r="1" spans="1:35" x14ac:dyDescent="0.35">
      <c r="A1" s="73" t="s">
        <v>460</v>
      </c>
      <c r="B1" s="73" t="s">
        <v>426</v>
      </c>
      <c r="C1" s="73" t="s">
        <v>427</v>
      </c>
      <c r="D1" s="73" t="s">
        <v>428</v>
      </c>
      <c r="E1" s="73" t="s">
        <v>429</v>
      </c>
      <c r="F1" s="73" t="s">
        <v>430</v>
      </c>
      <c r="G1" s="73" t="s">
        <v>431</v>
      </c>
      <c r="H1" s="73" t="s">
        <v>432</v>
      </c>
      <c r="I1" s="73" t="s">
        <v>433</v>
      </c>
      <c r="J1" s="73" t="s">
        <v>434</v>
      </c>
      <c r="K1" s="73" t="s">
        <v>435</v>
      </c>
      <c r="L1" s="73" t="s">
        <v>436</v>
      </c>
      <c r="M1" s="73" t="s">
        <v>437</v>
      </c>
      <c r="N1" s="73" t="s">
        <v>438</v>
      </c>
      <c r="O1" s="73" t="s">
        <v>439</v>
      </c>
      <c r="P1" s="73" t="s">
        <v>440</v>
      </c>
      <c r="Q1" s="73" t="s">
        <v>441</v>
      </c>
      <c r="R1" s="73" t="s">
        <v>442</v>
      </c>
      <c r="S1" s="73" t="s">
        <v>443</v>
      </c>
      <c r="T1" s="73" t="s">
        <v>444</v>
      </c>
      <c r="U1" s="73" t="s">
        <v>445</v>
      </c>
      <c r="V1" s="73" t="s">
        <v>446</v>
      </c>
      <c r="W1" s="73" t="s">
        <v>447</v>
      </c>
      <c r="X1" s="73" t="s">
        <v>448</v>
      </c>
      <c r="Y1" s="73" t="s">
        <v>449</v>
      </c>
      <c r="Z1" s="73" t="s">
        <v>450</v>
      </c>
      <c r="AA1" s="73" t="s">
        <v>451</v>
      </c>
      <c r="AB1" s="73" t="s">
        <v>452</v>
      </c>
      <c r="AC1" s="73" t="s">
        <v>453</v>
      </c>
      <c r="AD1" s="73" t="s">
        <v>454</v>
      </c>
      <c r="AE1" s="73" t="s">
        <v>455</v>
      </c>
      <c r="AF1" s="73" t="s">
        <v>456</v>
      </c>
      <c r="AG1" s="73" t="s">
        <v>457</v>
      </c>
      <c r="AH1" s="73" t="s">
        <v>458</v>
      </c>
      <c r="AI1" s="73" t="s">
        <v>459</v>
      </c>
    </row>
    <row r="2" spans="1:35" x14ac:dyDescent="0.35">
      <c r="A2" t="s">
        <v>94</v>
      </c>
      <c r="B2" s="2">
        <v>23</v>
      </c>
      <c r="C2" s="2">
        <v>24</v>
      </c>
      <c r="D2" s="2">
        <v>34</v>
      </c>
      <c r="E2" s="2">
        <v>20</v>
      </c>
      <c r="F2" s="2">
        <v>42</v>
      </c>
      <c r="G2" s="2">
        <v>58</v>
      </c>
      <c r="H2" s="2">
        <v>90</v>
      </c>
      <c r="I2" s="2">
        <v>2</v>
      </c>
      <c r="J2" s="2">
        <v>1</v>
      </c>
      <c r="K2" s="2">
        <v>2</v>
      </c>
      <c r="L2" s="2">
        <v>2</v>
      </c>
      <c r="M2" s="2">
        <v>3</v>
      </c>
      <c r="N2" s="2">
        <v>19</v>
      </c>
      <c r="O2" s="2">
        <v>22</v>
      </c>
      <c r="P2" s="2">
        <v>16</v>
      </c>
      <c r="Q2" s="2">
        <v>15</v>
      </c>
      <c r="R2" s="2">
        <v>28</v>
      </c>
      <c r="S2" s="2">
        <v>83</v>
      </c>
      <c r="T2" s="2">
        <v>5</v>
      </c>
      <c r="U2" s="2">
        <v>11</v>
      </c>
      <c r="V2" s="2">
        <v>20</v>
      </c>
      <c r="W2" s="2">
        <v>15</v>
      </c>
      <c r="X2" s="2">
        <v>26</v>
      </c>
      <c r="Y2" s="2">
        <v>23</v>
      </c>
      <c r="Z2" s="2">
        <v>5</v>
      </c>
      <c r="AA2" s="2">
        <v>6</v>
      </c>
      <c r="AB2" s="2">
        <v>10</v>
      </c>
      <c r="AC2" s="2">
        <v>19</v>
      </c>
      <c r="AD2" s="2">
        <v>60</v>
      </c>
      <c r="AE2" s="2">
        <v>37</v>
      </c>
      <c r="AF2" s="2">
        <v>24</v>
      </c>
      <c r="AG2" s="2">
        <v>8</v>
      </c>
      <c r="AH2" s="2">
        <v>5</v>
      </c>
      <c r="AI2" s="2">
        <v>27</v>
      </c>
    </row>
    <row r="3" spans="1:35" x14ac:dyDescent="0.35">
      <c r="A3" t="s">
        <v>98</v>
      </c>
      <c r="B3" s="2">
        <v>23</v>
      </c>
      <c r="C3" s="2">
        <v>22</v>
      </c>
      <c r="D3" s="2">
        <v>32</v>
      </c>
      <c r="E3" s="2">
        <v>23</v>
      </c>
      <c r="F3" s="2">
        <v>42</v>
      </c>
      <c r="G3" s="2">
        <v>58</v>
      </c>
      <c r="H3" s="2">
        <v>82</v>
      </c>
      <c r="I3" s="2">
        <v>6</v>
      </c>
      <c r="J3" s="2">
        <v>2</v>
      </c>
      <c r="K3" s="2">
        <v>3</v>
      </c>
      <c r="L3" s="2">
        <v>3</v>
      </c>
      <c r="M3" s="2">
        <v>5</v>
      </c>
      <c r="N3" s="2">
        <v>26</v>
      </c>
      <c r="O3" s="2">
        <v>26</v>
      </c>
      <c r="P3" s="2">
        <v>18</v>
      </c>
      <c r="Q3" s="2">
        <v>15</v>
      </c>
      <c r="R3" s="2">
        <v>15</v>
      </c>
      <c r="S3" s="2">
        <v>79</v>
      </c>
      <c r="T3" s="2">
        <v>5</v>
      </c>
      <c r="U3" s="2">
        <v>16</v>
      </c>
      <c r="V3" s="2">
        <v>22</v>
      </c>
      <c r="W3" s="2">
        <v>12</v>
      </c>
      <c r="X3" s="2">
        <v>27</v>
      </c>
      <c r="Y3" s="2">
        <v>17</v>
      </c>
      <c r="Z3" s="2">
        <v>8</v>
      </c>
      <c r="AA3" s="2">
        <v>5</v>
      </c>
      <c r="AB3" s="2">
        <v>8</v>
      </c>
      <c r="AC3" s="2">
        <v>18</v>
      </c>
      <c r="AD3" s="2">
        <v>60</v>
      </c>
      <c r="AE3" s="2">
        <v>30</v>
      </c>
      <c r="AF3" s="2">
        <v>16</v>
      </c>
      <c r="AG3" s="2">
        <v>7</v>
      </c>
      <c r="AH3" s="2">
        <v>5</v>
      </c>
      <c r="AI3" s="2">
        <v>42</v>
      </c>
    </row>
    <row r="4" spans="1:35" x14ac:dyDescent="0.35">
      <c r="A4" t="s">
        <v>102</v>
      </c>
      <c r="B4" s="2">
        <v>20</v>
      </c>
      <c r="C4" s="2">
        <v>22</v>
      </c>
      <c r="D4" s="2">
        <v>34</v>
      </c>
      <c r="E4" s="2">
        <v>24</v>
      </c>
      <c r="F4" s="2">
        <v>41</v>
      </c>
      <c r="G4" s="2">
        <v>59</v>
      </c>
      <c r="H4" s="2">
        <v>90</v>
      </c>
      <c r="I4" s="2">
        <v>2</v>
      </c>
      <c r="J4" s="2">
        <v>1</v>
      </c>
      <c r="K4" s="2">
        <v>2</v>
      </c>
      <c r="L4" s="2">
        <v>2</v>
      </c>
      <c r="M4" s="2">
        <v>4</v>
      </c>
      <c r="N4" s="2">
        <v>21</v>
      </c>
      <c r="O4" s="2">
        <v>24</v>
      </c>
      <c r="P4" s="2">
        <v>29</v>
      </c>
      <c r="Q4" s="2">
        <v>16</v>
      </c>
      <c r="R4" s="2">
        <v>10</v>
      </c>
      <c r="S4" s="2">
        <v>71</v>
      </c>
      <c r="T4" s="2">
        <v>5</v>
      </c>
      <c r="U4" s="2">
        <v>23</v>
      </c>
      <c r="V4" s="2">
        <v>16</v>
      </c>
      <c r="W4" s="2">
        <v>14</v>
      </c>
      <c r="X4" s="2">
        <v>20</v>
      </c>
      <c r="Y4" s="2">
        <v>22</v>
      </c>
      <c r="Z4" s="2">
        <v>5</v>
      </c>
      <c r="AA4" s="2">
        <v>4</v>
      </c>
      <c r="AB4" s="2">
        <v>7</v>
      </c>
      <c r="AC4" s="2">
        <v>15</v>
      </c>
      <c r="AD4" s="2">
        <v>69</v>
      </c>
      <c r="AE4" s="2">
        <v>30</v>
      </c>
      <c r="AF4" s="2">
        <v>25</v>
      </c>
      <c r="AG4" s="2">
        <v>8</v>
      </c>
      <c r="AH4" s="2">
        <v>5</v>
      </c>
      <c r="AI4" s="2">
        <v>31</v>
      </c>
    </row>
    <row r="5" spans="1:35" x14ac:dyDescent="0.35">
      <c r="A5" t="s">
        <v>105</v>
      </c>
      <c r="B5" s="2">
        <v>23</v>
      </c>
      <c r="C5" s="2">
        <v>23</v>
      </c>
      <c r="D5" s="2">
        <v>33</v>
      </c>
      <c r="E5" s="2">
        <v>22</v>
      </c>
      <c r="F5" s="2">
        <v>41</v>
      </c>
      <c r="G5" s="2">
        <v>59</v>
      </c>
      <c r="H5" s="2">
        <v>85</v>
      </c>
      <c r="I5" s="2">
        <v>5</v>
      </c>
      <c r="J5" s="2">
        <v>2</v>
      </c>
      <c r="K5" s="2">
        <v>2</v>
      </c>
      <c r="L5" s="2">
        <v>3</v>
      </c>
      <c r="M5" s="2">
        <v>4</v>
      </c>
      <c r="N5" s="2">
        <v>31</v>
      </c>
      <c r="O5" s="2">
        <v>27</v>
      </c>
      <c r="P5" s="2">
        <v>21</v>
      </c>
      <c r="Q5" s="2">
        <v>13</v>
      </c>
      <c r="R5" s="2">
        <v>8</v>
      </c>
      <c r="S5" s="2">
        <v>74</v>
      </c>
      <c r="T5" s="2">
        <v>4</v>
      </c>
      <c r="U5" s="2">
        <v>22</v>
      </c>
      <c r="V5" s="2">
        <v>21</v>
      </c>
      <c r="W5" s="2">
        <v>13</v>
      </c>
      <c r="X5" s="2">
        <v>26</v>
      </c>
      <c r="Y5" s="2">
        <v>14</v>
      </c>
      <c r="Z5" s="2">
        <v>4</v>
      </c>
      <c r="AA5" s="2">
        <v>3</v>
      </c>
      <c r="AB5" s="2">
        <v>4</v>
      </c>
      <c r="AC5" s="2">
        <v>11</v>
      </c>
      <c r="AD5" s="2">
        <v>78</v>
      </c>
      <c r="AE5" s="2">
        <v>31</v>
      </c>
      <c r="AF5" s="2">
        <v>19</v>
      </c>
      <c r="AG5" s="2">
        <v>3</v>
      </c>
      <c r="AH5" s="2">
        <v>3</v>
      </c>
      <c r="AI5" s="2">
        <v>44</v>
      </c>
    </row>
    <row r="6" spans="1:35" x14ac:dyDescent="0.35">
      <c r="A6" t="s">
        <v>108</v>
      </c>
      <c r="B6" s="2">
        <v>24</v>
      </c>
      <c r="C6" s="2">
        <v>24</v>
      </c>
      <c r="D6" s="2">
        <v>31</v>
      </c>
      <c r="E6" s="2">
        <v>21</v>
      </c>
      <c r="F6" s="2">
        <v>41</v>
      </c>
      <c r="G6" s="2">
        <v>59</v>
      </c>
      <c r="H6" s="2">
        <v>81</v>
      </c>
      <c r="I6" s="2">
        <v>7</v>
      </c>
      <c r="J6" s="2">
        <v>4</v>
      </c>
      <c r="K6" s="2">
        <v>2</v>
      </c>
      <c r="L6" s="2">
        <v>3</v>
      </c>
      <c r="M6" s="2">
        <v>4</v>
      </c>
      <c r="N6" s="2">
        <v>15</v>
      </c>
      <c r="O6" s="2">
        <v>23</v>
      </c>
      <c r="P6" s="2">
        <v>16</v>
      </c>
      <c r="Q6" s="2">
        <v>18</v>
      </c>
      <c r="R6" s="2">
        <v>28</v>
      </c>
      <c r="S6" s="2">
        <v>61</v>
      </c>
      <c r="T6" s="2">
        <v>6</v>
      </c>
      <c r="U6" s="2">
        <v>33</v>
      </c>
      <c r="V6" s="2">
        <v>15</v>
      </c>
      <c r="W6" s="2">
        <v>18</v>
      </c>
      <c r="X6" s="2">
        <v>17</v>
      </c>
      <c r="Y6" s="2">
        <v>12</v>
      </c>
      <c r="Z6" s="2">
        <v>3</v>
      </c>
      <c r="AA6" s="2">
        <v>3</v>
      </c>
      <c r="AB6" s="2">
        <v>5</v>
      </c>
      <c r="AC6" s="2">
        <v>11</v>
      </c>
      <c r="AD6" s="2">
        <v>78</v>
      </c>
      <c r="AE6" s="2">
        <v>15</v>
      </c>
      <c r="AF6" s="2">
        <v>12</v>
      </c>
      <c r="AG6" s="2">
        <v>6</v>
      </c>
      <c r="AH6" s="2">
        <v>3</v>
      </c>
      <c r="AI6" s="2">
        <v>64</v>
      </c>
    </row>
    <row r="7" spans="1:35" x14ac:dyDescent="0.35">
      <c r="A7" t="s">
        <v>469</v>
      </c>
      <c r="B7" s="2">
        <v>18</v>
      </c>
      <c r="C7" s="2">
        <v>23</v>
      </c>
      <c r="D7" s="2">
        <v>37</v>
      </c>
      <c r="E7" s="2">
        <v>22</v>
      </c>
      <c r="F7" s="2">
        <v>42</v>
      </c>
      <c r="G7" s="2">
        <v>58</v>
      </c>
      <c r="H7" s="2">
        <v>82</v>
      </c>
      <c r="I7" s="2">
        <v>3</v>
      </c>
      <c r="J7" s="2">
        <v>2</v>
      </c>
      <c r="K7" s="2">
        <v>4</v>
      </c>
      <c r="L7" s="2">
        <v>2</v>
      </c>
      <c r="M7" s="2">
        <v>7</v>
      </c>
      <c r="N7" s="2">
        <v>26</v>
      </c>
      <c r="O7" s="2">
        <v>22</v>
      </c>
      <c r="P7" s="2">
        <v>21</v>
      </c>
      <c r="Q7" s="2">
        <v>15</v>
      </c>
      <c r="R7" s="2">
        <v>17</v>
      </c>
      <c r="S7" s="2">
        <v>91</v>
      </c>
      <c r="T7" s="2">
        <v>5</v>
      </c>
      <c r="U7" s="2">
        <v>4</v>
      </c>
      <c r="V7" s="2">
        <v>24</v>
      </c>
      <c r="W7" s="2">
        <v>15</v>
      </c>
      <c r="X7" s="2">
        <v>28</v>
      </c>
      <c r="Y7" s="2">
        <v>23</v>
      </c>
      <c r="Z7" s="2">
        <v>6</v>
      </c>
      <c r="AA7" s="2">
        <v>5</v>
      </c>
      <c r="AB7" s="2">
        <v>9</v>
      </c>
      <c r="AC7" s="2">
        <v>18</v>
      </c>
      <c r="AD7" s="2">
        <v>62</v>
      </c>
      <c r="AE7" s="2">
        <v>19</v>
      </c>
      <c r="AF7" s="2">
        <v>21</v>
      </c>
      <c r="AG7" s="2">
        <v>6</v>
      </c>
      <c r="AH7" s="2">
        <v>4</v>
      </c>
      <c r="AI7" s="2">
        <v>50</v>
      </c>
    </row>
    <row r="8" spans="1:35" x14ac:dyDescent="0.35">
      <c r="A8" t="s">
        <v>114</v>
      </c>
      <c r="B8" s="2">
        <v>21</v>
      </c>
      <c r="C8" s="2">
        <v>19</v>
      </c>
      <c r="D8" s="2">
        <v>37</v>
      </c>
      <c r="E8" s="2">
        <v>22</v>
      </c>
      <c r="F8" s="2">
        <v>42</v>
      </c>
      <c r="G8" s="2">
        <v>58</v>
      </c>
      <c r="H8" s="2">
        <v>84</v>
      </c>
      <c r="I8" s="2">
        <v>3</v>
      </c>
      <c r="J8" s="2">
        <v>2</v>
      </c>
      <c r="K8" s="2">
        <v>3</v>
      </c>
      <c r="L8" s="2">
        <v>3</v>
      </c>
      <c r="M8" s="2">
        <v>5</v>
      </c>
      <c r="N8" s="2">
        <v>17</v>
      </c>
      <c r="O8" s="2">
        <v>26</v>
      </c>
      <c r="P8" s="2">
        <v>26</v>
      </c>
      <c r="Q8" s="2">
        <v>17</v>
      </c>
      <c r="R8" s="2">
        <v>13</v>
      </c>
      <c r="S8" s="2">
        <v>67</v>
      </c>
      <c r="T8" s="2">
        <v>3</v>
      </c>
      <c r="U8" s="2">
        <v>29</v>
      </c>
      <c r="V8" s="2">
        <v>20</v>
      </c>
      <c r="W8" s="2">
        <v>13</v>
      </c>
      <c r="X8" s="2">
        <v>20</v>
      </c>
      <c r="Y8" s="2">
        <v>15</v>
      </c>
      <c r="Z8" s="2">
        <v>5</v>
      </c>
      <c r="AA8" s="2">
        <v>2</v>
      </c>
      <c r="AB8" s="2">
        <v>6</v>
      </c>
      <c r="AC8" s="2">
        <v>11</v>
      </c>
      <c r="AD8" s="2">
        <v>76</v>
      </c>
      <c r="AE8" s="2">
        <v>40</v>
      </c>
      <c r="AF8" s="2">
        <v>20</v>
      </c>
      <c r="AG8" s="2">
        <v>5</v>
      </c>
      <c r="AH8" s="2">
        <v>3</v>
      </c>
      <c r="AI8" s="2">
        <v>32</v>
      </c>
    </row>
    <row r="9" spans="1:35" x14ac:dyDescent="0.35">
      <c r="A9" t="s">
        <v>113</v>
      </c>
      <c r="B9" s="2">
        <v>19</v>
      </c>
      <c r="C9" s="2">
        <v>23</v>
      </c>
      <c r="D9" s="2">
        <v>36</v>
      </c>
      <c r="E9" s="2">
        <v>21</v>
      </c>
      <c r="F9" s="2">
        <v>42</v>
      </c>
      <c r="G9" s="2">
        <v>58</v>
      </c>
      <c r="H9" s="2">
        <v>83</v>
      </c>
      <c r="I9" s="2">
        <v>4</v>
      </c>
      <c r="J9" s="2">
        <v>1</v>
      </c>
      <c r="K9" s="2">
        <v>2</v>
      </c>
      <c r="L9" s="2">
        <v>3</v>
      </c>
      <c r="M9" s="2">
        <v>6</v>
      </c>
      <c r="N9" s="2">
        <v>15</v>
      </c>
      <c r="O9" s="2">
        <v>27</v>
      </c>
      <c r="P9" s="2">
        <v>18</v>
      </c>
      <c r="Q9" s="2">
        <v>19</v>
      </c>
      <c r="R9" s="2">
        <v>20</v>
      </c>
      <c r="S9" s="2">
        <v>86</v>
      </c>
      <c r="T9" s="2">
        <v>3</v>
      </c>
      <c r="U9" s="2">
        <v>11</v>
      </c>
      <c r="V9" s="2">
        <v>27</v>
      </c>
      <c r="W9" s="2">
        <v>15</v>
      </c>
      <c r="X9" s="2">
        <v>24</v>
      </c>
      <c r="Y9" s="2">
        <v>19</v>
      </c>
      <c r="Z9" s="2">
        <v>9</v>
      </c>
      <c r="AA9" s="2">
        <v>5</v>
      </c>
      <c r="AB9" s="2">
        <v>11</v>
      </c>
      <c r="AC9" s="2">
        <v>19</v>
      </c>
      <c r="AD9" s="2">
        <v>57</v>
      </c>
      <c r="AE9" s="2">
        <v>35</v>
      </c>
      <c r="AF9" s="2">
        <v>19</v>
      </c>
      <c r="AG9" s="2">
        <v>7</v>
      </c>
      <c r="AH9" s="2">
        <v>4</v>
      </c>
      <c r="AI9" s="2">
        <v>35</v>
      </c>
    </row>
    <row r="10" spans="1:35" x14ac:dyDescent="0.35">
      <c r="A10" t="s">
        <v>119</v>
      </c>
      <c r="B10" s="2">
        <v>31</v>
      </c>
      <c r="C10" s="2">
        <v>22</v>
      </c>
      <c r="D10" s="2">
        <v>28</v>
      </c>
      <c r="E10" s="2">
        <v>19</v>
      </c>
      <c r="F10" s="2">
        <v>44</v>
      </c>
      <c r="G10" s="2">
        <v>56</v>
      </c>
      <c r="H10" s="2">
        <v>64</v>
      </c>
      <c r="I10" s="2">
        <v>9</v>
      </c>
      <c r="J10" s="2">
        <v>6</v>
      </c>
      <c r="K10" s="2">
        <v>5</v>
      </c>
      <c r="L10" s="2">
        <v>12</v>
      </c>
      <c r="M10" s="2">
        <v>5</v>
      </c>
      <c r="N10" s="2">
        <v>16</v>
      </c>
      <c r="O10" s="2">
        <v>21</v>
      </c>
      <c r="P10" s="2">
        <v>26</v>
      </c>
      <c r="Q10" s="2">
        <v>24</v>
      </c>
      <c r="R10" s="2">
        <v>14</v>
      </c>
      <c r="S10" s="2">
        <v>58</v>
      </c>
      <c r="T10" s="2">
        <v>5</v>
      </c>
      <c r="U10" s="2">
        <v>38</v>
      </c>
      <c r="V10" s="2">
        <v>15</v>
      </c>
      <c r="W10" s="2">
        <v>15</v>
      </c>
      <c r="X10" s="2">
        <v>16</v>
      </c>
      <c r="Y10" s="2">
        <v>12</v>
      </c>
      <c r="Z10" s="2">
        <v>4</v>
      </c>
      <c r="AA10" s="2">
        <v>2</v>
      </c>
      <c r="AB10" s="2">
        <v>4</v>
      </c>
      <c r="AC10" s="2">
        <v>11</v>
      </c>
      <c r="AD10" s="2">
        <v>79</v>
      </c>
      <c r="AE10" s="2">
        <v>26</v>
      </c>
      <c r="AF10" s="2">
        <v>13</v>
      </c>
      <c r="AG10" s="2">
        <v>6</v>
      </c>
      <c r="AH10" s="2">
        <v>3</v>
      </c>
      <c r="AI10" s="2">
        <v>52</v>
      </c>
    </row>
    <row r="11" spans="1:35" x14ac:dyDescent="0.35">
      <c r="A11" t="s">
        <v>101</v>
      </c>
      <c r="B11" s="2">
        <v>31</v>
      </c>
      <c r="C11" s="2">
        <v>25</v>
      </c>
      <c r="D11" s="2">
        <v>27</v>
      </c>
      <c r="E11" s="2">
        <v>17</v>
      </c>
      <c r="F11" s="2">
        <v>44</v>
      </c>
      <c r="G11" s="2">
        <v>56</v>
      </c>
      <c r="H11" s="2">
        <v>59</v>
      </c>
      <c r="I11" s="2">
        <v>20</v>
      </c>
      <c r="J11" s="2">
        <v>8</v>
      </c>
      <c r="K11" s="2">
        <v>3</v>
      </c>
      <c r="L11" s="2">
        <v>7</v>
      </c>
      <c r="M11" s="2">
        <v>3</v>
      </c>
      <c r="N11" s="2">
        <v>11</v>
      </c>
      <c r="O11" s="2">
        <v>13</v>
      </c>
      <c r="P11" s="2">
        <v>22</v>
      </c>
      <c r="Q11" s="2">
        <v>33</v>
      </c>
      <c r="R11" s="2">
        <v>20</v>
      </c>
      <c r="S11" s="2">
        <v>75</v>
      </c>
      <c r="T11" s="2">
        <v>5</v>
      </c>
      <c r="U11" s="2">
        <v>19</v>
      </c>
      <c r="V11" s="2">
        <v>15</v>
      </c>
      <c r="W11" s="2">
        <v>11</v>
      </c>
      <c r="X11" s="2">
        <v>31</v>
      </c>
      <c r="Y11" s="2">
        <v>18</v>
      </c>
      <c r="Z11" s="2">
        <v>5</v>
      </c>
      <c r="AA11" s="2">
        <v>4</v>
      </c>
      <c r="AB11" s="2">
        <v>7</v>
      </c>
      <c r="AC11" s="2">
        <v>17</v>
      </c>
      <c r="AD11" s="2">
        <v>67</v>
      </c>
      <c r="AE11" s="2">
        <v>13</v>
      </c>
      <c r="AF11" s="2">
        <v>21</v>
      </c>
      <c r="AG11" s="2">
        <v>7</v>
      </c>
      <c r="AH11" s="2">
        <v>3</v>
      </c>
      <c r="AI11" s="2">
        <v>56</v>
      </c>
    </row>
    <row r="12" spans="1:35" x14ac:dyDescent="0.35">
      <c r="A12" t="s">
        <v>124</v>
      </c>
      <c r="B12" s="2">
        <v>21</v>
      </c>
      <c r="C12" s="2">
        <v>25</v>
      </c>
      <c r="D12" s="2">
        <v>34</v>
      </c>
      <c r="E12" s="2">
        <v>20</v>
      </c>
      <c r="F12" s="2">
        <v>43</v>
      </c>
      <c r="G12" s="2">
        <v>57</v>
      </c>
      <c r="H12" s="2">
        <v>91</v>
      </c>
      <c r="I12" s="2">
        <v>2</v>
      </c>
      <c r="J12" s="2">
        <v>1</v>
      </c>
      <c r="K12" s="2">
        <v>2</v>
      </c>
      <c r="L12" s="2">
        <v>2</v>
      </c>
      <c r="M12" s="2">
        <v>3</v>
      </c>
      <c r="N12" s="2">
        <v>17</v>
      </c>
      <c r="O12" s="2">
        <v>19</v>
      </c>
      <c r="P12" s="2">
        <v>18</v>
      </c>
      <c r="Q12" s="2">
        <v>21</v>
      </c>
      <c r="R12" s="2">
        <v>25</v>
      </c>
      <c r="S12" s="2">
        <v>82</v>
      </c>
      <c r="T12" s="2">
        <v>5</v>
      </c>
      <c r="U12" s="2">
        <v>13</v>
      </c>
      <c r="V12" s="2">
        <v>20</v>
      </c>
      <c r="W12" s="2">
        <v>14</v>
      </c>
      <c r="X12" s="2">
        <v>30</v>
      </c>
      <c r="Y12" s="2">
        <v>18</v>
      </c>
      <c r="Z12" s="2">
        <v>6</v>
      </c>
      <c r="AA12" s="2">
        <v>5</v>
      </c>
      <c r="AB12" s="2">
        <v>7</v>
      </c>
      <c r="AC12" s="2">
        <v>14</v>
      </c>
      <c r="AD12" s="2">
        <v>69</v>
      </c>
      <c r="AE12" s="2">
        <v>36</v>
      </c>
      <c r="AF12" s="2">
        <v>24</v>
      </c>
      <c r="AG12" s="2">
        <v>6</v>
      </c>
      <c r="AH12" s="2">
        <v>3</v>
      </c>
      <c r="AI12" s="2">
        <v>31</v>
      </c>
    </row>
    <row r="13" spans="1:35" x14ac:dyDescent="0.35">
      <c r="A13" t="s">
        <v>127</v>
      </c>
      <c r="B13" s="2">
        <v>15</v>
      </c>
      <c r="C13" s="2">
        <v>24</v>
      </c>
      <c r="D13" s="2">
        <v>38</v>
      </c>
      <c r="E13" s="2">
        <v>23</v>
      </c>
      <c r="F13" s="2">
        <v>43</v>
      </c>
      <c r="G13" s="2">
        <v>57</v>
      </c>
      <c r="H13" s="2">
        <v>85</v>
      </c>
      <c r="I13" s="2">
        <v>3</v>
      </c>
      <c r="J13" s="2">
        <v>2</v>
      </c>
      <c r="K13" s="2">
        <v>3</v>
      </c>
      <c r="L13" s="2">
        <v>3</v>
      </c>
      <c r="M13" s="2">
        <v>5</v>
      </c>
      <c r="N13" s="2">
        <v>9</v>
      </c>
      <c r="O13" s="2">
        <v>24</v>
      </c>
      <c r="P13" s="2">
        <v>29</v>
      </c>
      <c r="Q13" s="2">
        <v>28</v>
      </c>
      <c r="R13" s="2">
        <v>10</v>
      </c>
      <c r="S13" s="2">
        <v>70</v>
      </c>
      <c r="T13" s="2">
        <v>5</v>
      </c>
      <c r="U13" s="2">
        <v>25</v>
      </c>
      <c r="V13" s="2">
        <v>16</v>
      </c>
      <c r="W13" s="2">
        <v>14</v>
      </c>
      <c r="X13" s="2">
        <v>23</v>
      </c>
      <c r="Y13" s="2">
        <v>18</v>
      </c>
      <c r="Z13" s="2">
        <v>2</v>
      </c>
      <c r="AA13" s="2">
        <v>2</v>
      </c>
      <c r="AB13" s="2">
        <v>4</v>
      </c>
      <c r="AC13" s="2">
        <v>9</v>
      </c>
      <c r="AD13" s="2">
        <v>82</v>
      </c>
      <c r="AE13" s="2">
        <v>26</v>
      </c>
      <c r="AF13" s="2">
        <v>10</v>
      </c>
      <c r="AG13" s="2">
        <v>4</v>
      </c>
      <c r="AH13" s="2">
        <v>2</v>
      </c>
      <c r="AI13" s="2">
        <v>58</v>
      </c>
    </row>
    <row r="14" spans="1:35" x14ac:dyDescent="0.35">
      <c r="A14" t="s">
        <v>462</v>
      </c>
      <c r="B14" s="2">
        <v>29</v>
      </c>
      <c r="C14" s="2">
        <v>22</v>
      </c>
      <c r="D14" s="2">
        <v>29</v>
      </c>
      <c r="E14" s="2">
        <v>21</v>
      </c>
      <c r="F14" s="2">
        <v>43</v>
      </c>
      <c r="G14" s="2">
        <v>57</v>
      </c>
      <c r="H14" s="2">
        <v>63</v>
      </c>
      <c r="I14" s="2">
        <v>14</v>
      </c>
      <c r="J14" s="2">
        <v>6</v>
      </c>
      <c r="K14" s="2">
        <v>3</v>
      </c>
      <c r="L14" s="2">
        <v>10</v>
      </c>
      <c r="M14" s="2">
        <v>4</v>
      </c>
      <c r="N14" s="2">
        <v>27</v>
      </c>
      <c r="O14" s="2">
        <v>21</v>
      </c>
      <c r="P14" s="2">
        <v>22</v>
      </c>
      <c r="Q14" s="2">
        <v>21</v>
      </c>
      <c r="R14" s="2">
        <v>9</v>
      </c>
      <c r="S14" s="2">
        <v>74</v>
      </c>
      <c r="T14" s="2">
        <v>5</v>
      </c>
      <c r="U14" s="2">
        <v>21</v>
      </c>
      <c r="V14" s="2">
        <v>14</v>
      </c>
      <c r="W14" s="2">
        <v>12</v>
      </c>
      <c r="X14" s="2">
        <v>27</v>
      </c>
      <c r="Y14" s="2">
        <v>21</v>
      </c>
      <c r="Z14" s="2">
        <v>8</v>
      </c>
      <c r="AA14" s="2">
        <v>6</v>
      </c>
      <c r="AB14" s="2">
        <v>8</v>
      </c>
      <c r="AC14" s="2">
        <v>23</v>
      </c>
      <c r="AD14" s="2">
        <v>56</v>
      </c>
      <c r="AE14" s="2">
        <v>33</v>
      </c>
      <c r="AF14" s="2">
        <v>16</v>
      </c>
      <c r="AG14" s="2">
        <v>6</v>
      </c>
      <c r="AH14" s="2">
        <v>4</v>
      </c>
      <c r="AI14" s="2">
        <v>40</v>
      </c>
    </row>
    <row r="15" spans="1:35" x14ac:dyDescent="0.35">
      <c r="A15" t="s">
        <v>464</v>
      </c>
      <c r="B15" s="2">
        <v>21</v>
      </c>
      <c r="C15" s="2">
        <v>21</v>
      </c>
      <c r="D15" s="2">
        <v>34</v>
      </c>
      <c r="E15" s="2">
        <v>24</v>
      </c>
      <c r="F15" s="2">
        <v>42</v>
      </c>
      <c r="G15" s="2">
        <v>58</v>
      </c>
      <c r="H15" s="2">
        <v>84</v>
      </c>
      <c r="I15" s="2">
        <v>3</v>
      </c>
      <c r="J15" s="2">
        <v>2</v>
      </c>
      <c r="K15" s="2">
        <v>3</v>
      </c>
      <c r="L15" s="2">
        <v>2</v>
      </c>
      <c r="M15" s="2">
        <v>6</v>
      </c>
      <c r="N15" s="2">
        <v>29</v>
      </c>
      <c r="O15" s="2">
        <v>27</v>
      </c>
      <c r="P15" s="2">
        <v>23</v>
      </c>
      <c r="Q15" s="2">
        <v>15</v>
      </c>
      <c r="R15" s="2">
        <v>7</v>
      </c>
      <c r="S15" s="2">
        <v>70</v>
      </c>
      <c r="T15" s="2">
        <v>5</v>
      </c>
      <c r="U15" s="2">
        <v>25</v>
      </c>
      <c r="V15" s="2">
        <v>16</v>
      </c>
      <c r="W15" s="2">
        <v>14</v>
      </c>
      <c r="X15" s="2">
        <v>23</v>
      </c>
      <c r="Y15" s="2">
        <v>16</v>
      </c>
      <c r="Z15" s="2">
        <v>5</v>
      </c>
      <c r="AA15" s="2">
        <v>2</v>
      </c>
      <c r="AB15" s="2">
        <v>5</v>
      </c>
      <c r="AC15" s="2">
        <v>11</v>
      </c>
      <c r="AD15" s="2">
        <v>76</v>
      </c>
      <c r="AE15" s="2">
        <v>25</v>
      </c>
      <c r="AF15" s="2">
        <v>16</v>
      </c>
      <c r="AG15" s="2">
        <v>5</v>
      </c>
      <c r="AH15" s="2">
        <v>3</v>
      </c>
      <c r="AI15" s="2">
        <v>52</v>
      </c>
    </row>
    <row r="16" spans="1:35" x14ac:dyDescent="0.35">
      <c r="A16" t="s">
        <v>133</v>
      </c>
      <c r="B16" s="2">
        <v>36</v>
      </c>
      <c r="C16" s="2">
        <v>23</v>
      </c>
      <c r="D16" s="2">
        <v>25</v>
      </c>
      <c r="E16" s="2">
        <v>15</v>
      </c>
      <c r="F16" s="2">
        <v>44</v>
      </c>
      <c r="G16" s="2">
        <v>56</v>
      </c>
      <c r="H16" s="2">
        <v>64</v>
      </c>
      <c r="I16" s="2">
        <v>7</v>
      </c>
      <c r="J16" s="2">
        <v>12</v>
      </c>
      <c r="K16" s="2">
        <v>5</v>
      </c>
      <c r="L16" s="2">
        <v>5</v>
      </c>
      <c r="M16" s="2">
        <v>8</v>
      </c>
      <c r="N16" s="2">
        <v>20</v>
      </c>
      <c r="O16" s="2">
        <v>19</v>
      </c>
      <c r="P16" s="2">
        <v>23</v>
      </c>
      <c r="Q16" s="2">
        <v>26</v>
      </c>
      <c r="R16" s="2">
        <v>13</v>
      </c>
      <c r="S16" s="2">
        <v>51</v>
      </c>
      <c r="T16" s="2">
        <v>21</v>
      </c>
      <c r="U16" s="2">
        <v>28</v>
      </c>
      <c r="V16" s="2">
        <v>10</v>
      </c>
      <c r="W16" s="2">
        <v>11</v>
      </c>
      <c r="X16" s="2">
        <v>18</v>
      </c>
      <c r="Y16" s="2">
        <v>12</v>
      </c>
      <c r="Z16" s="2">
        <v>1</v>
      </c>
      <c r="AA16" s="2">
        <v>1</v>
      </c>
      <c r="AB16" s="2">
        <v>3</v>
      </c>
      <c r="AC16" s="2">
        <v>7</v>
      </c>
      <c r="AD16" s="2">
        <v>88</v>
      </c>
      <c r="AE16" s="2">
        <v>14</v>
      </c>
      <c r="AF16" s="2">
        <v>7</v>
      </c>
      <c r="AG16" s="2">
        <v>2</v>
      </c>
      <c r="AH16" s="2">
        <v>1</v>
      </c>
      <c r="AI16" s="2">
        <v>75</v>
      </c>
    </row>
    <row r="17" spans="1:35" x14ac:dyDescent="0.35">
      <c r="A17" t="s">
        <v>104</v>
      </c>
      <c r="B17" s="2">
        <v>25</v>
      </c>
      <c r="C17" s="2">
        <v>20</v>
      </c>
      <c r="D17" s="2">
        <v>32</v>
      </c>
      <c r="E17" s="2">
        <v>23</v>
      </c>
      <c r="F17" s="2">
        <v>42</v>
      </c>
      <c r="G17" s="2">
        <v>58</v>
      </c>
      <c r="H17" s="2">
        <v>90</v>
      </c>
      <c r="I17" s="2">
        <v>2</v>
      </c>
      <c r="J17" s="2">
        <v>1</v>
      </c>
      <c r="K17" s="2">
        <v>2</v>
      </c>
      <c r="L17" s="2">
        <v>1</v>
      </c>
      <c r="M17" s="2">
        <v>4</v>
      </c>
      <c r="N17" s="2">
        <v>13</v>
      </c>
      <c r="O17" s="2">
        <v>19</v>
      </c>
      <c r="P17" s="2">
        <v>20</v>
      </c>
      <c r="Q17" s="2">
        <v>20</v>
      </c>
      <c r="R17" s="2">
        <v>28</v>
      </c>
      <c r="S17" s="2">
        <v>47</v>
      </c>
      <c r="T17" s="2">
        <v>5</v>
      </c>
      <c r="U17" s="2">
        <v>47</v>
      </c>
      <c r="V17" s="2">
        <v>10</v>
      </c>
      <c r="W17" s="2">
        <v>15</v>
      </c>
      <c r="X17" s="2">
        <v>9</v>
      </c>
      <c r="Y17" s="2">
        <v>13</v>
      </c>
      <c r="Z17" s="2">
        <v>4</v>
      </c>
      <c r="AA17" s="2">
        <v>4</v>
      </c>
      <c r="AB17" s="2">
        <v>7</v>
      </c>
      <c r="AC17" s="2">
        <v>14</v>
      </c>
      <c r="AD17" s="2">
        <v>71</v>
      </c>
      <c r="AE17" s="2">
        <v>23</v>
      </c>
      <c r="AF17" s="2">
        <v>26</v>
      </c>
      <c r="AG17" s="2">
        <v>12</v>
      </c>
      <c r="AH17" s="2">
        <v>4</v>
      </c>
      <c r="AI17" s="2">
        <v>34</v>
      </c>
    </row>
    <row r="18" spans="1:35" x14ac:dyDescent="0.35">
      <c r="A18" t="s">
        <v>97</v>
      </c>
      <c r="B18" s="2">
        <v>18</v>
      </c>
      <c r="C18" s="2">
        <v>21</v>
      </c>
      <c r="D18" s="2">
        <v>35</v>
      </c>
      <c r="E18" s="2">
        <v>26</v>
      </c>
      <c r="F18" s="2">
        <v>44</v>
      </c>
      <c r="G18" s="2">
        <v>56</v>
      </c>
      <c r="H18" s="2">
        <v>77</v>
      </c>
      <c r="I18" s="2">
        <v>6</v>
      </c>
      <c r="J18" s="2">
        <v>2</v>
      </c>
      <c r="K18" s="2">
        <v>3</v>
      </c>
      <c r="L18" s="2">
        <v>4</v>
      </c>
      <c r="M18" s="2">
        <v>8</v>
      </c>
      <c r="N18" s="2">
        <v>36</v>
      </c>
      <c r="O18" s="2">
        <v>24</v>
      </c>
      <c r="P18" s="2">
        <v>23</v>
      </c>
      <c r="Q18" s="2">
        <v>12</v>
      </c>
      <c r="R18" s="2">
        <v>4</v>
      </c>
      <c r="S18" s="2">
        <v>85</v>
      </c>
      <c r="T18" s="2">
        <v>5</v>
      </c>
      <c r="U18" s="2">
        <v>10</v>
      </c>
      <c r="V18" s="2">
        <v>20</v>
      </c>
      <c r="W18" s="2">
        <v>15</v>
      </c>
      <c r="X18" s="2">
        <v>28</v>
      </c>
      <c r="Y18" s="2">
        <v>22</v>
      </c>
      <c r="Z18" s="2">
        <v>3</v>
      </c>
      <c r="AA18" s="2">
        <v>5</v>
      </c>
      <c r="AB18" s="2">
        <v>6</v>
      </c>
      <c r="AC18" s="2">
        <v>13</v>
      </c>
      <c r="AD18" s="2">
        <v>73</v>
      </c>
      <c r="AE18" s="2">
        <v>22</v>
      </c>
      <c r="AF18" s="2">
        <v>16</v>
      </c>
      <c r="AG18" s="2">
        <v>5</v>
      </c>
      <c r="AH18" s="2">
        <v>4</v>
      </c>
      <c r="AI18" s="2">
        <v>52</v>
      </c>
    </row>
    <row r="19" spans="1:35" x14ac:dyDescent="0.35">
      <c r="A19" t="s">
        <v>122</v>
      </c>
      <c r="B19" s="2">
        <v>22</v>
      </c>
      <c r="C19" s="2">
        <v>22</v>
      </c>
      <c r="D19" s="2">
        <v>35</v>
      </c>
      <c r="E19" s="2">
        <v>20</v>
      </c>
      <c r="F19" s="2">
        <v>43</v>
      </c>
      <c r="G19" s="2">
        <v>57</v>
      </c>
      <c r="H19" s="2">
        <v>81</v>
      </c>
      <c r="I19" s="2">
        <v>5</v>
      </c>
      <c r="J19" s="2">
        <v>2</v>
      </c>
      <c r="K19" s="2">
        <v>2</v>
      </c>
      <c r="L19" s="2">
        <v>4</v>
      </c>
      <c r="M19" s="2">
        <v>7</v>
      </c>
      <c r="N19" s="2">
        <v>51</v>
      </c>
      <c r="O19" s="2">
        <v>26</v>
      </c>
      <c r="P19" s="2">
        <v>11</v>
      </c>
      <c r="Q19" s="2">
        <v>8</v>
      </c>
      <c r="R19" s="2">
        <v>4</v>
      </c>
      <c r="S19" s="2">
        <v>83</v>
      </c>
      <c r="T19" s="2">
        <v>6</v>
      </c>
      <c r="U19" s="2">
        <v>12</v>
      </c>
      <c r="V19" s="2">
        <v>17</v>
      </c>
      <c r="W19" s="2">
        <v>15</v>
      </c>
      <c r="X19" s="2">
        <v>28</v>
      </c>
      <c r="Y19" s="2">
        <v>22</v>
      </c>
      <c r="Z19" s="2">
        <v>4</v>
      </c>
      <c r="AA19" s="2">
        <v>4</v>
      </c>
      <c r="AB19" s="2">
        <v>5</v>
      </c>
      <c r="AC19" s="2">
        <v>9</v>
      </c>
      <c r="AD19" s="2">
        <v>77</v>
      </c>
      <c r="AE19" s="2">
        <v>18</v>
      </c>
      <c r="AF19" s="2">
        <v>8</v>
      </c>
      <c r="AG19" s="2">
        <v>3</v>
      </c>
      <c r="AH19" s="2">
        <v>2</v>
      </c>
      <c r="AI19" s="2">
        <v>69</v>
      </c>
    </row>
    <row r="20" spans="1:35" x14ac:dyDescent="0.35">
      <c r="A20" t="s">
        <v>142</v>
      </c>
      <c r="B20" s="2">
        <v>21</v>
      </c>
      <c r="C20" s="2">
        <v>22</v>
      </c>
      <c r="D20" s="2">
        <v>34</v>
      </c>
      <c r="E20" s="2">
        <v>22</v>
      </c>
      <c r="F20" s="2">
        <v>42</v>
      </c>
      <c r="G20" s="2">
        <v>58</v>
      </c>
      <c r="H20" s="2">
        <v>76</v>
      </c>
      <c r="I20" s="2">
        <v>5</v>
      </c>
      <c r="J20" s="2">
        <v>3</v>
      </c>
      <c r="K20" s="2">
        <v>4</v>
      </c>
      <c r="L20" s="2">
        <v>6</v>
      </c>
      <c r="M20" s="2">
        <v>8</v>
      </c>
      <c r="N20" s="2">
        <v>29</v>
      </c>
      <c r="O20" s="2">
        <v>25</v>
      </c>
      <c r="P20" s="2">
        <v>23</v>
      </c>
      <c r="Q20" s="2">
        <v>16</v>
      </c>
      <c r="R20" s="2">
        <v>7</v>
      </c>
      <c r="S20" s="2">
        <v>84</v>
      </c>
      <c r="T20" s="2">
        <v>6</v>
      </c>
      <c r="U20" s="2">
        <v>10</v>
      </c>
      <c r="V20" s="2">
        <v>20</v>
      </c>
      <c r="W20" s="2">
        <v>13</v>
      </c>
      <c r="X20" s="2">
        <v>35</v>
      </c>
      <c r="Y20" s="2">
        <v>16</v>
      </c>
      <c r="Z20" s="2">
        <v>13</v>
      </c>
      <c r="AA20" s="2">
        <v>7</v>
      </c>
      <c r="AB20" s="2">
        <v>9</v>
      </c>
      <c r="AC20" s="2">
        <v>22</v>
      </c>
      <c r="AD20" s="2">
        <v>49</v>
      </c>
      <c r="AE20" s="2">
        <v>46</v>
      </c>
      <c r="AF20" s="2">
        <v>20</v>
      </c>
      <c r="AG20" s="2">
        <v>5</v>
      </c>
      <c r="AH20" s="2">
        <v>4</v>
      </c>
      <c r="AI20" s="2">
        <v>24</v>
      </c>
    </row>
    <row r="21" spans="1:35" x14ac:dyDescent="0.35">
      <c r="A21" t="s">
        <v>145</v>
      </c>
      <c r="B21" s="2">
        <v>22</v>
      </c>
      <c r="C21" s="2">
        <v>22</v>
      </c>
      <c r="D21" s="2">
        <v>32</v>
      </c>
      <c r="E21" s="2">
        <v>23</v>
      </c>
      <c r="F21" s="2">
        <v>44</v>
      </c>
      <c r="G21" s="2">
        <v>56</v>
      </c>
      <c r="H21" s="2">
        <v>82</v>
      </c>
      <c r="I21" s="2">
        <v>7</v>
      </c>
      <c r="J21" s="2">
        <v>3</v>
      </c>
      <c r="K21" s="2">
        <v>2</v>
      </c>
      <c r="L21" s="2">
        <v>2</v>
      </c>
      <c r="M21" s="2">
        <v>4</v>
      </c>
      <c r="N21" s="2">
        <v>18</v>
      </c>
      <c r="O21" s="2">
        <v>22</v>
      </c>
      <c r="P21" s="2">
        <v>20</v>
      </c>
      <c r="Q21" s="2">
        <v>18</v>
      </c>
      <c r="R21" s="2">
        <v>22</v>
      </c>
      <c r="S21" s="2">
        <v>81</v>
      </c>
      <c r="T21" s="2">
        <v>5</v>
      </c>
      <c r="U21" s="2">
        <v>13</v>
      </c>
      <c r="V21" s="2">
        <v>21</v>
      </c>
      <c r="W21" s="2">
        <v>12</v>
      </c>
      <c r="X21" s="2">
        <v>23</v>
      </c>
      <c r="Y21" s="2">
        <v>25</v>
      </c>
      <c r="Z21" s="2">
        <v>7</v>
      </c>
      <c r="AA21" s="2">
        <v>5</v>
      </c>
      <c r="AB21" s="2">
        <v>10</v>
      </c>
      <c r="AC21" s="2">
        <v>16</v>
      </c>
      <c r="AD21" s="2">
        <v>62</v>
      </c>
      <c r="AE21" s="2">
        <v>38</v>
      </c>
      <c r="AF21" s="2">
        <v>18</v>
      </c>
      <c r="AG21" s="2">
        <v>6</v>
      </c>
      <c r="AH21" s="2">
        <v>5</v>
      </c>
      <c r="AI21" s="2">
        <v>33</v>
      </c>
    </row>
    <row r="22" spans="1:35" x14ac:dyDescent="0.35">
      <c r="A22" t="s">
        <v>93</v>
      </c>
      <c r="B22" s="2">
        <v>22</v>
      </c>
      <c r="C22" s="2">
        <v>26</v>
      </c>
      <c r="D22" s="2">
        <v>31</v>
      </c>
      <c r="E22" s="2">
        <v>21</v>
      </c>
      <c r="F22" s="2">
        <v>42</v>
      </c>
      <c r="G22" s="2">
        <v>58</v>
      </c>
      <c r="H22" s="2">
        <v>87</v>
      </c>
      <c r="I22" s="2">
        <v>6</v>
      </c>
      <c r="J22" s="2">
        <v>2</v>
      </c>
      <c r="K22" s="2">
        <v>2</v>
      </c>
      <c r="L22" s="2">
        <v>1</v>
      </c>
      <c r="M22" s="2">
        <v>2</v>
      </c>
      <c r="N22" s="2">
        <v>19</v>
      </c>
      <c r="O22" s="2">
        <v>23</v>
      </c>
      <c r="P22" s="2">
        <v>18</v>
      </c>
      <c r="Q22" s="2">
        <v>15</v>
      </c>
      <c r="R22" s="2">
        <v>25</v>
      </c>
      <c r="S22" s="2">
        <v>87</v>
      </c>
      <c r="T22" s="2">
        <v>5</v>
      </c>
      <c r="U22" s="2">
        <v>7</v>
      </c>
      <c r="V22" s="2">
        <v>24</v>
      </c>
      <c r="W22" s="2">
        <v>16</v>
      </c>
      <c r="X22" s="2">
        <v>27</v>
      </c>
      <c r="Y22" s="2">
        <v>21</v>
      </c>
      <c r="Z22" s="2">
        <v>8</v>
      </c>
      <c r="AA22" s="2">
        <v>3</v>
      </c>
      <c r="AB22" s="2">
        <v>7</v>
      </c>
      <c r="AC22" s="2">
        <v>13</v>
      </c>
      <c r="AD22" s="2">
        <v>69</v>
      </c>
      <c r="AE22" s="2">
        <v>25</v>
      </c>
      <c r="AF22" s="2">
        <v>25</v>
      </c>
      <c r="AG22" s="2">
        <v>9</v>
      </c>
      <c r="AH22" s="2">
        <v>4</v>
      </c>
      <c r="AI22" s="2">
        <v>38</v>
      </c>
    </row>
  </sheetData>
  <phoneticPr fontId="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AJ2"/>
  <sheetViews>
    <sheetView workbookViewId="0"/>
  </sheetViews>
  <sheetFormatPr defaultRowHeight="14.5" x14ac:dyDescent="0.35"/>
  <cols>
    <col min="1" max="1" width="7.7265625" bestFit="1" customWidth="1"/>
    <col min="2" max="2" width="11.81640625" customWidth="1"/>
    <col min="3" max="3" width="7.453125" customWidth="1"/>
    <col min="4" max="4" width="16" customWidth="1"/>
    <col min="5" max="5" width="13.81640625" customWidth="1"/>
    <col min="6" max="6" width="9.453125" customWidth="1"/>
    <col min="7" max="7" width="7.453125" customWidth="1"/>
    <col min="8" max="8" width="8.1796875" customWidth="1"/>
    <col min="9" max="10" width="7.54296875" customWidth="1"/>
    <col min="11" max="11" width="7.26953125" customWidth="1"/>
    <col min="12" max="12" width="15" customWidth="1"/>
    <col min="13" max="13" width="9.453125" customWidth="1"/>
    <col min="14" max="14" width="10.1796875" customWidth="1"/>
    <col min="15" max="16" width="9.54296875" customWidth="1"/>
    <col min="17" max="17" width="9.26953125" customWidth="1"/>
    <col min="18" max="18" width="10.1796875" customWidth="1"/>
    <col min="19" max="21" width="7.1796875" customWidth="1"/>
    <col min="22" max="22" width="10.26953125" customWidth="1"/>
    <col min="23" max="23" width="12.1796875" customWidth="1"/>
    <col min="24" max="26" width="9.1796875" customWidth="1"/>
    <col min="27" max="27" width="12.26953125" customWidth="1"/>
    <col min="28" max="28" width="6.54296875" customWidth="1"/>
    <col min="29" max="29" width="10.54296875" customWidth="1"/>
    <col min="30" max="30" width="7.54296875" customWidth="1"/>
    <col min="31" max="31" width="14.7265625" customWidth="1"/>
    <col min="32" max="32" width="8.54296875" customWidth="1"/>
    <col min="33" max="33" width="8.7265625" customWidth="1"/>
    <col min="34" max="34" width="9.54296875" customWidth="1"/>
    <col min="35" max="35" width="12.453125" customWidth="1"/>
    <col min="36" max="37" width="5.54296875" bestFit="1" customWidth="1"/>
    <col min="38" max="39" width="6.1796875" customWidth="1"/>
    <col min="40" max="40" width="12.26953125" bestFit="1" customWidth="1"/>
    <col min="41" max="41" width="12.453125" customWidth="1"/>
    <col min="42" max="43" width="7.1796875" customWidth="1"/>
    <col min="44" max="45" width="8.1796875" customWidth="1"/>
    <col min="46" max="46" width="7.1796875" customWidth="1"/>
    <col min="47" max="51" width="6.1796875" customWidth="1"/>
    <col min="52" max="52" width="13.453125" customWidth="1"/>
    <col min="53" max="57" width="8.1796875" customWidth="1"/>
    <col min="58" max="59" width="23.7265625" customWidth="1"/>
    <col min="60" max="60" width="31" customWidth="1"/>
  </cols>
  <sheetData>
    <row r="1" spans="1:36" x14ac:dyDescent="0.35">
      <c r="A1" s="73" t="s">
        <v>329</v>
      </c>
      <c r="B1" s="73" t="s">
        <v>425</v>
      </c>
      <c r="C1" s="73" t="s">
        <v>426</v>
      </c>
      <c r="D1" s="73" t="s">
        <v>427</v>
      </c>
      <c r="E1" s="73" t="s">
        <v>428</v>
      </c>
      <c r="F1" s="73" t="s">
        <v>429</v>
      </c>
      <c r="G1" s="73" t="s">
        <v>430</v>
      </c>
      <c r="H1" s="73" t="s">
        <v>431</v>
      </c>
      <c r="I1" s="73" t="s">
        <v>432</v>
      </c>
      <c r="J1" s="73" t="s">
        <v>433</v>
      </c>
      <c r="K1" s="73" t="s">
        <v>434</v>
      </c>
      <c r="L1" s="73" t="s">
        <v>435</v>
      </c>
      <c r="M1" s="73" t="s">
        <v>436</v>
      </c>
      <c r="N1" s="73" t="s">
        <v>437</v>
      </c>
      <c r="O1" s="73" t="s">
        <v>438</v>
      </c>
      <c r="P1" s="73" t="s">
        <v>439</v>
      </c>
      <c r="Q1" s="73" t="s">
        <v>440</v>
      </c>
      <c r="R1" s="73" t="s">
        <v>441</v>
      </c>
      <c r="S1" s="73" t="s">
        <v>442</v>
      </c>
      <c r="T1" s="73" t="s">
        <v>443</v>
      </c>
      <c r="U1" s="73" t="s">
        <v>444</v>
      </c>
      <c r="V1" s="73" t="s">
        <v>445</v>
      </c>
      <c r="W1" s="73" t="s">
        <v>446</v>
      </c>
      <c r="X1" s="73" t="s">
        <v>447</v>
      </c>
      <c r="Y1" s="73" t="s">
        <v>448</v>
      </c>
      <c r="Z1" s="73" t="s">
        <v>449</v>
      </c>
      <c r="AA1" s="73" t="s">
        <v>450</v>
      </c>
      <c r="AB1" s="73" t="s">
        <v>451</v>
      </c>
      <c r="AC1" s="73" t="s">
        <v>452</v>
      </c>
      <c r="AD1" s="73" t="s">
        <v>453</v>
      </c>
      <c r="AE1" s="73" t="s">
        <v>454</v>
      </c>
      <c r="AF1" s="73" t="s">
        <v>455</v>
      </c>
      <c r="AG1" s="73" t="s">
        <v>456</v>
      </c>
      <c r="AH1" s="73" t="s">
        <v>457</v>
      </c>
      <c r="AI1" s="73" t="s">
        <v>458</v>
      </c>
      <c r="AJ1" s="73" t="s">
        <v>459</v>
      </c>
    </row>
    <row r="2" spans="1:36" x14ac:dyDescent="0.35">
      <c r="A2" s="79" t="s">
        <v>330</v>
      </c>
      <c r="B2" s="2">
        <v>26314</v>
      </c>
      <c r="C2" s="2">
        <v>23</v>
      </c>
      <c r="D2" s="2">
        <v>23</v>
      </c>
      <c r="E2" s="2">
        <v>33</v>
      </c>
      <c r="F2" s="2">
        <v>22</v>
      </c>
      <c r="G2" s="2">
        <v>43</v>
      </c>
      <c r="H2" s="2">
        <v>57</v>
      </c>
      <c r="I2" s="2">
        <v>81</v>
      </c>
      <c r="J2" s="2">
        <v>5</v>
      </c>
      <c r="K2" s="2">
        <v>3</v>
      </c>
      <c r="L2" s="2">
        <v>3</v>
      </c>
      <c r="M2" s="2">
        <v>4</v>
      </c>
      <c r="N2" s="2">
        <v>5</v>
      </c>
      <c r="O2" s="2">
        <v>23</v>
      </c>
      <c r="P2" s="2">
        <v>23</v>
      </c>
      <c r="Q2" s="2">
        <v>21</v>
      </c>
      <c r="R2" s="2">
        <v>17</v>
      </c>
      <c r="S2" s="2">
        <v>15</v>
      </c>
      <c r="T2" s="2">
        <v>76</v>
      </c>
      <c r="U2" s="2">
        <v>6</v>
      </c>
      <c r="V2" s="2">
        <v>19</v>
      </c>
      <c r="W2" s="2">
        <v>19</v>
      </c>
      <c r="X2" s="2">
        <v>14</v>
      </c>
      <c r="Y2" s="2">
        <v>25</v>
      </c>
      <c r="Z2" s="2">
        <v>19</v>
      </c>
      <c r="AA2" s="2">
        <v>6</v>
      </c>
      <c r="AB2" s="2">
        <v>4</v>
      </c>
      <c r="AC2" s="2">
        <v>7</v>
      </c>
      <c r="AD2" s="2">
        <v>15</v>
      </c>
      <c r="AE2" s="2">
        <v>68</v>
      </c>
      <c r="AF2" s="2">
        <v>29</v>
      </c>
      <c r="AG2" s="2">
        <v>18</v>
      </c>
      <c r="AH2" s="2">
        <v>6</v>
      </c>
      <c r="AI2" s="2">
        <v>4</v>
      </c>
      <c r="AJ2" s="2">
        <v>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7E42A658625949A23FAF559764E968" ma:contentTypeVersion="12" ma:contentTypeDescription="Create a new document." ma:contentTypeScope="" ma:versionID="eba4ff036123a1c7699b7fc761b5ed95">
  <xsd:schema xmlns:xsd="http://www.w3.org/2001/XMLSchema" xmlns:xs="http://www.w3.org/2001/XMLSchema" xmlns:p="http://schemas.microsoft.com/office/2006/metadata/properties" xmlns:ns2="25d0d7a6-2c38-4afc-9b32-c346c435ea26" xmlns:ns3="c5ce595a-391a-49ba-8c57-a5ba7e233401" targetNamespace="http://schemas.microsoft.com/office/2006/metadata/properties" ma:root="true" ma:fieldsID="97687a51dbf2cdfa61be2c0f6919475b" ns2:_="" ns3:_="">
    <xsd:import namespace="25d0d7a6-2c38-4afc-9b32-c346c435ea26"/>
    <xsd:import namespace="c5ce595a-391a-49ba-8c57-a5ba7e2334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0d7a6-2c38-4afc-9b32-c346c435ea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c3f4cb-322f-435a-8a80-c0839b9cdfd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ce595a-391a-49ba-8c57-a5ba7e2334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a126b7e-e7db-409c-9307-de2463cffdc4}" ma:internalName="TaxCatchAll" ma:showField="CatchAllData" ma:web="c5ce595a-391a-49ba-8c57-a5ba7e2334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c5ce595a-391a-49ba-8c57-a5ba7e233401">
      <UserInfo>
        <DisplayName>Ella Barber</DisplayName>
        <AccountId>15</AccountId>
        <AccountType/>
      </UserInfo>
      <UserInfo>
        <DisplayName>Julie Nossiter</DisplayName>
        <AccountId>18</AccountId>
        <AccountType/>
      </UserInfo>
      <UserInfo>
        <DisplayName>Verity Walker</DisplayName>
        <AccountId>53</AccountId>
        <AccountType/>
      </UserInfo>
    </SharedWithUsers>
    <lcf76f155ced4ddcb4097134ff3c332f xmlns="25d0d7a6-2c38-4afc-9b32-c346c435ea26">
      <Terms xmlns="http://schemas.microsoft.com/office/infopath/2007/PartnerControls"/>
    </lcf76f155ced4ddcb4097134ff3c332f>
    <TaxCatchAll xmlns="c5ce595a-391a-49ba-8c57-a5ba7e23340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2E5FB-E7D6-428C-8026-688592CDE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0d7a6-2c38-4afc-9b32-c346c435ea26"/>
    <ds:schemaRef ds:uri="c5ce595a-391a-49ba-8c57-a5ba7e233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FF676-B9CF-4EB4-AE44-19C2AF8358B4}">
  <ds:schemaRefs>
    <ds:schemaRef ds:uri="http://schemas.microsoft.com/DataMashup"/>
  </ds:schemaRefs>
</ds:datastoreItem>
</file>

<file path=customXml/itemProps3.xml><?xml version="1.0" encoding="utf-8"?>
<ds:datastoreItem xmlns:ds="http://schemas.openxmlformats.org/officeDocument/2006/customXml" ds:itemID="{E7265DE0-9FDD-46E2-9A48-33AE64C459B4}">
  <ds:schemaRefs>
    <ds:schemaRef ds:uri="http://schemas.microsoft.com/office/2006/metadata/properties"/>
    <ds:schemaRef ds:uri="http://schemas.microsoft.com/office/infopath/2007/PartnerControls"/>
    <ds:schemaRef ds:uri="c5ce595a-391a-49ba-8c57-a5ba7e233401"/>
    <ds:schemaRef ds:uri="25d0d7a6-2c38-4afc-9b32-c346c435ea26"/>
  </ds:schemaRefs>
</ds:datastoreItem>
</file>

<file path=customXml/itemProps4.xml><?xml version="1.0" encoding="utf-8"?>
<ds:datastoreItem xmlns:ds="http://schemas.openxmlformats.org/officeDocument/2006/customXml" ds:itemID="{B799BBAF-2B7B-4BE9-ACB8-390D485DDD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85</vt:i4>
      </vt:variant>
    </vt:vector>
  </HeadingPairs>
  <TitlesOfParts>
    <vt:vector size="103" baseType="lpstr">
      <vt:lpstr>Introduction</vt:lpstr>
      <vt:lpstr>Acknowledgements</vt:lpstr>
      <vt:lpstr>Explanatory notes</vt:lpstr>
      <vt:lpstr>Dashboard-pt char</vt:lpstr>
      <vt:lpstr>Dashboard-COSD</vt:lpstr>
      <vt:lpstr>Dashboard-RCRD</vt:lpstr>
      <vt:lpstr>Links</vt:lpstr>
      <vt:lpstr>Lists</vt:lpstr>
      <vt:lpstr>ICD codes</vt:lpstr>
      <vt:lpstr>trust_rcrd_quality</vt:lpstr>
      <vt:lpstr>alliance_rcrd_quality</vt:lpstr>
      <vt:lpstr>national_rcrd_quality</vt:lpstr>
      <vt:lpstr>trust_cosd_quality</vt:lpstr>
      <vt:lpstr>alliance_cosd_quality</vt:lpstr>
      <vt:lpstr>national_cosd_quality</vt:lpstr>
      <vt:lpstr>trust_patient_char</vt:lpstr>
      <vt:lpstr>alliance_patient_chars</vt:lpstr>
      <vt:lpstr>national_patient_chars</vt:lpstr>
      <vt:lpstr>alliance_cosdq_cols</vt:lpstr>
      <vt:lpstr>alliance_cosdq_rows</vt:lpstr>
      <vt:lpstr>alliance_cosdq_table</vt:lpstr>
      <vt:lpstr>alliance_ptc_cols</vt:lpstr>
      <vt:lpstr>alliance_ptc_rows</vt:lpstr>
      <vt:lpstr>alliance_ptc_table</vt:lpstr>
      <vt:lpstr>alliance_rcrdq_cols</vt:lpstr>
      <vt:lpstr>alliance_rcrdq_rows</vt:lpstr>
      <vt:lpstr>alliance_rcrdq_table</vt:lpstr>
      <vt:lpstr>audit_cancer_type</vt:lpstr>
      <vt:lpstr>audit_name_long</vt:lpstr>
      <vt:lpstr>audit_name_short</vt:lpstr>
      <vt:lpstr>cosdq_cell_ref_col_names</vt:lpstr>
      <vt:lpstr>cosdq_cell_ref_matrix</vt:lpstr>
      <vt:lpstr>cosdq_cell_ref_row_names</vt:lpstr>
      <vt:lpstr>cosdq_cell_ref_table</vt:lpstr>
      <vt:lpstr>end_date_cosd</vt:lpstr>
      <vt:lpstr>end_date_ptc</vt:lpstr>
      <vt:lpstr>end_date_rcrd</vt:lpstr>
      <vt:lpstr>further_info_cosdq</vt:lpstr>
      <vt:lpstr>further_info_for_nhs_trusts</vt:lpstr>
      <vt:lpstr>further_info_ptchar</vt:lpstr>
      <vt:lpstr>further_info_rcrdq</vt:lpstr>
      <vt:lpstr>methods_icd</vt:lpstr>
      <vt:lpstr>methods_small_n</vt:lpstr>
      <vt:lpstr>n_ca</vt:lpstr>
      <vt:lpstr>n_trusts</vt:lpstr>
      <vt:lpstr>n_trusts_in_CA_xc_cosd</vt:lpstr>
      <vt:lpstr>n_trusts_in_CA_xc_rcrd</vt:lpstr>
      <vt:lpstr>national_cosdq_cols</vt:lpstr>
      <vt:lpstr>national_cosdq_table</vt:lpstr>
      <vt:lpstr>national_ptc_cols</vt:lpstr>
      <vt:lpstr>national_ptc_row</vt:lpstr>
      <vt:lpstr>national_rcrdq_cols</vt:lpstr>
      <vt:lpstr>national_rcrdq_table</vt:lpstr>
      <vt:lpstr>publication_quarter</vt:lpstr>
      <vt:lpstr>publication_year</vt:lpstr>
      <vt:lpstr>quarter_definitions</vt:lpstr>
      <vt:lpstr>rcrdq_cell_ref_col_names</vt:lpstr>
      <vt:lpstr>rcrdq_cell_ref_matrix</vt:lpstr>
      <vt:lpstr>rcrdq_cell_ref_row_names</vt:lpstr>
      <vt:lpstr>rcrdq_cell_ref_table</vt:lpstr>
      <vt:lpstr>selected_cosdq_datasource_xc</vt:lpstr>
      <vt:lpstr>selected_cosdq_datavar_xc</vt:lpstr>
      <vt:lpstr>selected_cosdq_denom_xc</vt:lpstr>
      <vt:lpstr>selected_cosdq_denomdescr_xc</vt:lpstr>
      <vt:lpstr>selected_cosdq_descr_xc</vt:lpstr>
      <vt:lpstr>selected_cosdq_name_xc</vt:lpstr>
      <vt:lpstr>selected_cosdq_num_xc</vt:lpstr>
      <vt:lpstr>selected_cosdq_target_xc</vt:lpstr>
      <vt:lpstr>selected_cosdq_time_xc</vt:lpstr>
      <vt:lpstr>selected_rcrdq_datasource_xc</vt:lpstr>
      <vt:lpstr>selected_rcrdq_datavar_xc</vt:lpstr>
      <vt:lpstr>selected_rcrdq_denom_xc</vt:lpstr>
      <vt:lpstr>selected_rcrdq_denomdescr_xc</vt:lpstr>
      <vt:lpstr>selected_rcrdq_descr_xc</vt:lpstr>
      <vt:lpstr>selected_rcrdq_name_xc</vt:lpstr>
      <vt:lpstr>selected_rcrdq_num_xc</vt:lpstr>
      <vt:lpstr>selected_rcrdq_target_xc</vt:lpstr>
      <vt:lpstr>selected_rcrdq_time_xc</vt:lpstr>
      <vt:lpstr>selected_trust_ca_code_xc_cosd</vt:lpstr>
      <vt:lpstr>selected_trust_ca_code_xc_rcrd</vt:lpstr>
      <vt:lpstr>selected_trust_ca_name_xc_cosd</vt:lpstr>
      <vt:lpstr>selected_trust_ca_name_xc_rcrd</vt:lpstr>
      <vt:lpstr>selected_trust_code_xc_cosd</vt:lpstr>
      <vt:lpstr>selected_trust_code_xc_rcrd</vt:lpstr>
      <vt:lpstr>selected_trust_ptc</vt:lpstr>
      <vt:lpstr>selected_trust_ptc_ca_name</vt:lpstr>
      <vt:lpstr>selected_trust_ptc_code</vt:lpstr>
      <vt:lpstr>selected_trust_xc_cosd</vt:lpstr>
      <vt:lpstr>selected_trust_xc_rcrd</vt:lpstr>
      <vt:lpstr>start_date_cosd</vt:lpstr>
      <vt:lpstr>start_date_ptc</vt:lpstr>
      <vt:lpstr>start_date_rcrd</vt:lpstr>
      <vt:lpstr>table_trust_ca_assoc</vt:lpstr>
      <vt:lpstr>trust_cosdq_cols</vt:lpstr>
      <vt:lpstr>trust_cosdq_rows</vt:lpstr>
      <vt:lpstr>trust_cosdq_table</vt:lpstr>
      <vt:lpstr>trust_ptc_cols</vt:lpstr>
      <vt:lpstr>trust_ptc_rows</vt:lpstr>
      <vt:lpstr>trust_ptc_table</vt:lpstr>
      <vt:lpstr>trust_rcrdq_cols</vt:lpstr>
      <vt:lpstr>trust_rcrdq_rows</vt:lpstr>
      <vt:lpstr>trust_rcrdq_table</vt:lpstr>
      <vt:lpstr>trusts_per_CA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Barber</dc:creator>
  <cp:keywords/>
  <dc:description/>
  <cp:lastModifiedBy>Vikki Hart</cp:lastModifiedBy>
  <cp:revision/>
  <dcterms:created xsi:type="dcterms:W3CDTF">2023-03-10T15:09:40Z</dcterms:created>
  <dcterms:modified xsi:type="dcterms:W3CDTF">2024-04-11T08:08:51Z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0x010100EC7E42A658625949A23FAF559764E968</vt:lpwstr>
  </property>
</Properties>
</file>